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Bilanci e relazioni\Bilancio 2024\Bilancio 2024_Controllo di gestione\"/>
    </mc:Choice>
  </mc:AlternateContent>
  <xr:revisionPtr revIDLastSave="0" documentId="13_ncr:1_{E411DDFE-3BF2-4225-A88F-9E3C8B211F46}" xr6:coauthVersionLast="47" xr6:coauthVersionMax="47" xr10:uidLastSave="{00000000-0000-0000-0000-000000000000}"/>
  <bookViews>
    <workbookView xWindow="-120" yWindow="-120" windowWidth="29040" windowHeight="15840" xr2:uid="{DB443024-CA1C-433C-ADC1-15D9071AFCA4}"/>
  </bookViews>
  <sheets>
    <sheet name="Graficizzazione" sheetId="1" r:id="rId1"/>
    <sheet name="Situazione Patrimoniale" sheetId="2" r:id="rId2"/>
    <sheet name="Conto Economico" sheetId="3" r:id="rId3"/>
  </sheets>
  <definedNames>
    <definedName name="_xlnm._FilterDatabase" localSheetId="1" hidden="1">'Situazione Patrimoniale'!$A$8:$J$43</definedName>
    <definedName name="_xlnm.Print_Area" localSheetId="2">'Conto Economico'!$A$1:$D$91</definedName>
    <definedName name="_xlnm.Print_Area" localSheetId="1">'Situazione Patrimoniale'!$A$1:$D$167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65" i="1"/>
  <c r="B64" i="1"/>
  <c r="B63" i="1"/>
  <c r="B62" i="1"/>
  <c r="B61" i="1"/>
  <c r="B60" i="1"/>
  <c r="B59" i="1"/>
  <c r="B58" i="1"/>
  <c r="B42" i="1"/>
  <c r="B43" i="1"/>
  <c r="B30" i="1"/>
  <c r="B29" i="1"/>
  <c r="B28" i="1"/>
  <c r="B27" i="1"/>
  <c r="B25" i="1"/>
  <c r="B26" i="1"/>
  <c r="B24" i="1"/>
  <c r="B23" i="1"/>
  <c r="B13" i="1"/>
  <c r="B12" i="1"/>
  <c r="B11" i="1"/>
  <c r="B10" i="1"/>
  <c r="B9" i="1"/>
  <c r="B8" i="1"/>
  <c r="B7" i="1"/>
  <c r="N90" i="3"/>
  <c r="L90" i="3"/>
  <c r="I89" i="3"/>
  <c r="H89" i="3"/>
  <c r="G89" i="3"/>
  <c r="F89" i="3"/>
  <c r="E89" i="3"/>
  <c r="C89" i="3"/>
  <c r="L88" i="3"/>
  <c r="D88" i="3"/>
  <c r="D89" i="3" s="1"/>
  <c r="N87" i="3"/>
  <c r="L87" i="3"/>
  <c r="L85" i="3"/>
  <c r="D84" i="3"/>
  <c r="C84" i="3"/>
  <c r="N84" i="3" s="1"/>
  <c r="N83" i="3"/>
  <c r="L83" i="3"/>
  <c r="N82" i="3"/>
  <c r="L82" i="3"/>
  <c r="N81" i="3"/>
  <c r="L81" i="3"/>
  <c r="N80" i="3"/>
  <c r="L80" i="3"/>
  <c r="N79" i="3"/>
  <c r="L79" i="3"/>
  <c r="N78" i="3"/>
  <c r="L78" i="3"/>
  <c r="N77" i="3"/>
  <c r="L77" i="3"/>
  <c r="N76" i="3"/>
  <c r="L76" i="3"/>
  <c r="N75" i="3"/>
  <c r="L75" i="3"/>
  <c r="D74" i="3"/>
  <c r="C74" i="3"/>
  <c r="N74" i="3" s="1"/>
  <c r="N73" i="3"/>
  <c r="L73" i="3"/>
  <c r="L72" i="3"/>
  <c r="I71" i="3"/>
  <c r="H71" i="3"/>
  <c r="G71" i="3"/>
  <c r="F71" i="3"/>
  <c r="E71" i="3"/>
  <c r="D71" i="3"/>
  <c r="L70" i="3"/>
  <c r="N69" i="3"/>
  <c r="L69" i="3"/>
  <c r="L68" i="3"/>
  <c r="L67" i="3"/>
  <c r="L66" i="3"/>
  <c r="L65" i="3"/>
  <c r="N64" i="3"/>
  <c r="L64" i="3"/>
  <c r="D63" i="3"/>
  <c r="C63" i="3"/>
  <c r="N63" i="3" s="1"/>
  <c r="L62" i="3"/>
  <c r="L61" i="3"/>
  <c r="L60" i="3"/>
  <c r="L59" i="3"/>
  <c r="L58" i="3"/>
  <c r="N57" i="3"/>
  <c r="L57" i="3"/>
  <c r="N56" i="3"/>
  <c r="L56" i="3"/>
  <c r="N55" i="3"/>
  <c r="L55" i="3"/>
  <c r="J55" i="3"/>
  <c r="J71" i="3" s="1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8" i="3"/>
  <c r="I37" i="3"/>
  <c r="E37" i="3"/>
  <c r="E39" i="3" s="1"/>
  <c r="E86" i="3" s="1"/>
  <c r="E91" i="3" s="1"/>
  <c r="E115" i="2" s="1"/>
  <c r="L36" i="3"/>
  <c r="J35" i="3"/>
  <c r="D35" i="3"/>
  <c r="C35" i="3"/>
  <c r="L35" i="3" s="1"/>
  <c r="N34" i="3"/>
  <c r="L34" i="3"/>
  <c r="N33" i="3"/>
  <c r="L33" i="3"/>
  <c r="G33" i="3"/>
  <c r="N32" i="3"/>
  <c r="L32" i="3"/>
  <c r="J31" i="3"/>
  <c r="I31" i="3"/>
  <c r="G31" i="3"/>
  <c r="F31" i="3"/>
  <c r="E31" i="3"/>
  <c r="D31" i="3"/>
  <c r="C31" i="3"/>
  <c r="L31" i="3" s="1"/>
  <c r="N30" i="3"/>
  <c r="L30" i="3"/>
  <c r="N29" i="3"/>
  <c r="L29" i="3"/>
  <c r="N28" i="3"/>
  <c r="L28" i="3"/>
  <c r="H28" i="3"/>
  <c r="H31" i="3" s="1"/>
  <c r="N27" i="3"/>
  <c r="L27" i="3"/>
  <c r="L26" i="3"/>
  <c r="J25" i="3"/>
  <c r="I25" i="3"/>
  <c r="H25" i="3"/>
  <c r="F25" i="3"/>
  <c r="F37" i="3" s="1"/>
  <c r="E25" i="3"/>
  <c r="D25" i="3"/>
  <c r="D37" i="3" s="1"/>
  <c r="N24" i="3"/>
  <c r="L24" i="3"/>
  <c r="N23" i="3"/>
  <c r="L23" i="3"/>
  <c r="N22" i="3"/>
  <c r="L22" i="3"/>
  <c r="G21" i="3"/>
  <c r="G25" i="3" s="1"/>
  <c r="D21" i="3"/>
  <c r="C21" i="3"/>
  <c r="L21" i="3" s="1"/>
  <c r="N20" i="3"/>
  <c r="L20" i="3"/>
  <c r="L19" i="3"/>
  <c r="N18" i="3"/>
  <c r="L18" i="3"/>
  <c r="N17" i="3"/>
  <c r="L17" i="3"/>
  <c r="J17" i="3"/>
  <c r="J37" i="3" s="1"/>
  <c r="I17" i="3"/>
  <c r="H17" i="3"/>
  <c r="H37" i="3" s="1"/>
  <c r="G17" i="3"/>
  <c r="G37" i="3" s="1"/>
  <c r="N16" i="3"/>
  <c r="L16" i="3"/>
  <c r="I13" i="3"/>
  <c r="I39" i="3" s="1"/>
  <c r="I86" i="3" s="1"/>
  <c r="I91" i="3" s="1"/>
  <c r="H13" i="3"/>
  <c r="G13" i="3"/>
  <c r="E13" i="3"/>
  <c r="N11" i="3"/>
  <c r="L11" i="3"/>
  <c r="N10" i="3"/>
  <c r="L10" i="3"/>
  <c r="D10" i="3"/>
  <c r="D12" i="3" s="1"/>
  <c r="D13" i="3" s="1"/>
  <c r="D39" i="3" s="1"/>
  <c r="D86" i="3" s="1"/>
  <c r="D91" i="3" s="1"/>
  <c r="D115" i="2" s="1"/>
  <c r="C114" i="2" s="1"/>
  <c r="C10" i="3"/>
  <c r="C12" i="3" s="1"/>
  <c r="J9" i="3"/>
  <c r="J13" i="3" s="1"/>
  <c r="J39" i="3" s="1"/>
  <c r="J86" i="3" s="1"/>
  <c r="H9" i="3"/>
  <c r="N8" i="3"/>
  <c r="L8" i="3"/>
  <c r="F8" i="3"/>
  <c r="F13" i="3" s="1"/>
  <c r="F39" i="3" s="1"/>
  <c r="F86" i="3" s="1"/>
  <c r="F91" i="3" s="1"/>
  <c r="F115" i="2" s="1"/>
  <c r="F117" i="2" s="1"/>
  <c r="F167" i="2" s="1"/>
  <c r="N7" i="3"/>
  <c r="L7" i="3"/>
  <c r="N6" i="3"/>
  <c r="L6" i="3"/>
  <c r="N5" i="3"/>
  <c r="L5" i="3"/>
  <c r="J163" i="2"/>
  <c r="I163" i="2"/>
  <c r="H163" i="2"/>
  <c r="G163" i="2"/>
  <c r="F163" i="2"/>
  <c r="E163" i="2"/>
  <c r="D163" i="2"/>
  <c r="C163" i="2"/>
  <c r="J159" i="2"/>
  <c r="E159" i="2"/>
  <c r="D159" i="2"/>
  <c r="C159" i="2"/>
  <c r="E157" i="2"/>
  <c r="C153" i="2"/>
  <c r="H151" i="2"/>
  <c r="G151" i="2"/>
  <c r="I148" i="2"/>
  <c r="I159" i="2" s="1"/>
  <c r="H148" i="2"/>
  <c r="H159" i="2" s="1"/>
  <c r="G148" i="2"/>
  <c r="G159" i="2" s="1"/>
  <c r="F148" i="2"/>
  <c r="F159" i="2" s="1"/>
  <c r="E148" i="2"/>
  <c r="J144" i="2"/>
  <c r="J126" i="2"/>
  <c r="I126" i="2"/>
  <c r="H126" i="2"/>
  <c r="G126" i="2"/>
  <c r="F126" i="2"/>
  <c r="E126" i="2"/>
  <c r="J124" i="2"/>
  <c r="J167" i="2" s="1"/>
  <c r="I124" i="2"/>
  <c r="H124" i="2"/>
  <c r="D124" i="2"/>
  <c r="D165" i="2" s="1"/>
  <c r="C124" i="2"/>
  <c r="C165" i="2" s="1"/>
  <c r="J123" i="2"/>
  <c r="I123" i="2"/>
  <c r="H123" i="2"/>
  <c r="G123" i="2"/>
  <c r="G124" i="2" s="1"/>
  <c r="F123" i="2"/>
  <c r="F124" i="2" s="1"/>
  <c r="E123" i="2"/>
  <c r="E124" i="2" s="1"/>
  <c r="I121" i="2"/>
  <c r="J117" i="2"/>
  <c r="H117" i="2"/>
  <c r="H167" i="2" s="1"/>
  <c r="E114" i="2"/>
  <c r="D99" i="2"/>
  <c r="J90" i="2"/>
  <c r="I90" i="2"/>
  <c r="H90" i="2"/>
  <c r="G90" i="2"/>
  <c r="F90" i="2"/>
  <c r="E90" i="2"/>
  <c r="D90" i="2"/>
  <c r="C89" i="2"/>
  <c r="C90" i="2" s="1"/>
  <c r="D85" i="2"/>
  <c r="C85" i="2"/>
  <c r="D80" i="2"/>
  <c r="C80" i="2"/>
  <c r="J70" i="2"/>
  <c r="I70" i="2"/>
  <c r="F70" i="2"/>
  <c r="E70" i="2"/>
  <c r="D69" i="2"/>
  <c r="C69" i="2"/>
  <c r="H65" i="2"/>
  <c r="H70" i="2" s="1"/>
  <c r="G65" i="2"/>
  <c r="F65" i="2"/>
  <c r="D65" i="2"/>
  <c r="C65" i="2"/>
  <c r="D62" i="2"/>
  <c r="C62" i="2"/>
  <c r="L70" i="2" s="1"/>
  <c r="D57" i="2"/>
  <c r="D70" i="2" s="1"/>
  <c r="D86" i="2" s="1"/>
  <c r="C57" i="2"/>
  <c r="C70" i="2" s="1"/>
  <c r="G55" i="2"/>
  <c r="G70" i="2" s="1"/>
  <c r="C55" i="2"/>
  <c r="J52" i="2"/>
  <c r="I52" i="2"/>
  <c r="H52" i="2"/>
  <c r="G52" i="2"/>
  <c r="F52" i="2"/>
  <c r="E52" i="2"/>
  <c r="D52" i="2"/>
  <c r="C52" i="2"/>
  <c r="C86" i="2" s="1"/>
  <c r="J43" i="2"/>
  <c r="E43" i="2"/>
  <c r="I39" i="2"/>
  <c r="H39" i="2"/>
  <c r="G39" i="2"/>
  <c r="F39" i="2"/>
  <c r="E39" i="2"/>
  <c r="D39" i="2"/>
  <c r="C39" i="2"/>
  <c r="D32" i="2"/>
  <c r="D42" i="2" s="1"/>
  <c r="C32" i="2"/>
  <c r="C42" i="2" s="1"/>
  <c r="J24" i="2"/>
  <c r="I24" i="2"/>
  <c r="I43" i="2" s="1"/>
  <c r="H24" i="2"/>
  <c r="G24" i="2"/>
  <c r="G43" i="2" s="1"/>
  <c r="F24" i="2"/>
  <c r="F43" i="2" s="1"/>
  <c r="E24" i="2"/>
  <c r="D24" i="2"/>
  <c r="C24" i="2"/>
  <c r="G22" i="2"/>
  <c r="J17" i="2"/>
  <c r="I17" i="2"/>
  <c r="H17" i="2"/>
  <c r="H43" i="2" s="1"/>
  <c r="G17" i="2"/>
  <c r="F17" i="2"/>
  <c r="E17" i="2"/>
  <c r="C17" i="2"/>
  <c r="D16" i="2"/>
  <c r="D17" i="2" s="1"/>
  <c r="D43" i="2" s="1"/>
  <c r="D92" i="2" s="1"/>
  <c r="J6" i="2"/>
  <c r="J92" i="2" s="1"/>
  <c r="I6" i="2"/>
  <c r="H6" i="2"/>
  <c r="G6" i="2"/>
  <c r="F6" i="2"/>
  <c r="E6" i="2"/>
  <c r="E92" i="2" s="1"/>
  <c r="G92" i="2" l="1"/>
  <c r="H39" i="3"/>
  <c r="H86" i="3" s="1"/>
  <c r="H91" i="3" s="1"/>
  <c r="I115" i="2" s="1"/>
  <c r="I117" i="2" s="1"/>
  <c r="I167" i="2" s="1"/>
  <c r="F92" i="2"/>
  <c r="H92" i="2"/>
  <c r="C43" i="2"/>
  <c r="C92" i="2" s="1"/>
  <c r="E117" i="2"/>
  <c r="E167" i="2" s="1"/>
  <c r="C13" i="3"/>
  <c r="N12" i="3"/>
  <c r="L12" i="3"/>
  <c r="G39" i="3"/>
  <c r="G86" i="3" s="1"/>
  <c r="G91" i="3" s="1"/>
  <c r="G115" i="2" s="1"/>
  <c r="G117" i="2" s="1"/>
  <c r="G167" i="2" s="1"/>
  <c r="I92" i="2"/>
  <c r="D117" i="2"/>
  <c r="D167" i="2" s="1"/>
  <c r="D171" i="2" s="1"/>
  <c r="L89" i="3"/>
  <c r="N21" i="3"/>
  <c r="N31" i="3"/>
  <c r="N35" i="3"/>
  <c r="L74" i="3"/>
  <c r="N89" i="3"/>
  <c r="C25" i="3"/>
  <c r="C71" i="3"/>
  <c r="N88" i="3"/>
  <c r="L63" i="3"/>
  <c r="L84" i="3"/>
  <c r="L71" i="3" l="1"/>
  <c r="N71" i="3"/>
  <c r="N25" i="3"/>
  <c r="L25" i="3"/>
  <c r="C37" i="3"/>
  <c r="L13" i="3"/>
  <c r="N13" i="3"/>
  <c r="N37" i="3" l="1"/>
  <c r="L37" i="3"/>
  <c r="C39" i="3"/>
  <c r="N39" i="3" l="1"/>
  <c r="L39" i="3"/>
  <c r="C86" i="3"/>
  <c r="N86" i="3" l="1"/>
  <c r="C91" i="3"/>
  <c r="L86" i="3"/>
  <c r="N91" i="3" l="1"/>
  <c r="C115" i="2"/>
  <c r="C117" i="2" s="1"/>
  <c r="C167" i="2" s="1"/>
  <c r="C171" i="2" s="1"/>
  <c r="L91" i="3"/>
</calcChain>
</file>

<file path=xl/sharedStrings.xml><?xml version="1.0" encoding="utf-8"?>
<sst xmlns="http://schemas.openxmlformats.org/spreadsheetml/2006/main" count="287" uniqueCount="244">
  <si>
    <t>Immobilizzazioni Immateriali</t>
  </si>
  <si>
    <t>Immobilizzazioni Materiali</t>
  </si>
  <si>
    <t>Immobilizzazioni Finanziarie</t>
  </si>
  <si>
    <t>Rimanenze</t>
  </si>
  <si>
    <t>Crediti</t>
  </si>
  <si>
    <t>Disponibilità liquide</t>
  </si>
  <si>
    <t>Ratei e Risconti</t>
  </si>
  <si>
    <t>Capitale</t>
  </si>
  <si>
    <t>Riserva legale</t>
  </si>
  <si>
    <t>Fondi risch ed Oneri</t>
  </si>
  <si>
    <t>TFR</t>
  </si>
  <si>
    <t>Debiti</t>
  </si>
  <si>
    <t>Ratei e risconti</t>
  </si>
  <si>
    <t>Ricavi delle vendite e prestazioni</t>
  </si>
  <si>
    <t>Altri Ricavi</t>
  </si>
  <si>
    <t>Materie prime</t>
  </si>
  <si>
    <t>Servizi</t>
  </si>
  <si>
    <t>Var. riman. Materie prime</t>
  </si>
  <si>
    <t>Accanton. Rischi</t>
  </si>
  <si>
    <t>Oneri div. Gestione</t>
  </si>
  <si>
    <t>Proventi ed Oneri Finanziari</t>
  </si>
  <si>
    <t>Imposte</t>
  </si>
  <si>
    <t>Utle d'esercizio</t>
  </si>
  <si>
    <t>Stato Patrimoniale attivo</t>
  </si>
  <si>
    <t xml:space="preserve">  </t>
  </si>
  <si>
    <t>Stato Patrimoniale passivo</t>
  </si>
  <si>
    <t>Valore della produzione</t>
  </si>
  <si>
    <t>Costi della produzione</t>
  </si>
  <si>
    <t>Altre voci del conto economico</t>
  </si>
  <si>
    <t>Utile d'Esercizio</t>
  </si>
  <si>
    <t>Altre riserve</t>
  </si>
  <si>
    <t>Godimento beni di terzi</t>
  </si>
  <si>
    <t>Personale</t>
  </si>
  <si>
    <t>S T A T O   P A T R I M O N I A L E</t>
  </si>
  <si>
    <t>A T T I V O</t>
  </si>
  <si>
    <t>31.12.2024</t>
  </si>
  <si>
    <t>31.12.2023</t>
  </si>
  <si>
    <t>31.12.2001</t>
  </si>
  <si>
    <t>30.06.2001</t>
  </si>
  <si>
    <t>31.12.2000</t>
  </si>
  <si>
    <t>31.12.1999</t>
  </si>
  <si>
    <t>31.12.1998</t>
  </si>
  <si>
    <t>31.12.1997</t>
  </si>
  <si>
    <t>A) CREDITI VERSO SOCI PER VERS. ANCORA DOVUTI</t>
  </si>
  <si>
    <t>TOTALE CREDITI VS. SOCI PER VERS.DOVUTI (A)</t>
  </si>
  <si>
    <t>B) IMMOBILIZZAZIONI</t>
  </si>
  <si>
    <t xml:space="preserve">     I   - Immobilizzazioni Immateriali</t>
  </si>
  <si>
    <t xml:space="preserve">           1) costi di impianto e di ampliamento</t>
  </si>
  <si>
    <t xml:space="preserve">           2) costi di sviluppo</t>
  </si>
  <si>
    <t xml:space="preserve">           3) diritti di brevetto industriale e utilizz.opere ingegno</t>
  </si>
  <si>
    <t xml:space="preserve">           4) concessioni, licenze marchi e diritti simili</t>
  </si>
  <si>
    <t xml:space="preserve">           5) avviamento</t>
  </si>
  <si>
    <t xml:space="preserve">           6) immobilizzazioni in corso e acconti</t>
  </si>
  <si>
    <t xml:space="preserve">           7) altre</t>
  </si>
  <si>
    <t>Totale immobilizzazioni immateriali</t>
  </si>
  <si>
    <t xml:space="preserve">     II - Immobilizzazioni Materiali</t>
  </si>
  <si>
    <t xml:space="preserve">           1) terreni e fabbricati</t>
  </si>
  <si>
    <t xml:space="preserve">           2) impianti e macchinari</t>
  </si>
  <si>
    <t xml:space="preserve">           3) attrezzature industriali e commerciali</t>
  </si>
  <si>
    <t xml:space="preserve">           4) altri beni</t>
  </si>
  <si>
    <t xml:space="preserve">           5) immobilizzazioni in corso e acconti</t>
  </si>
  <si>
    <t>Totale immobilizzazioni materiali</t>
  </si>
  <si>
    <t xml:space="preserve">     III - Immobilizzazioni Finanziarie</t>
  </si>
  <si>
    <t xml:space="preserve">           1) partecipazioni in:</t>
  </si>
  <si>
    <t xml:space="preserve">               a) imprese controllate</t>
  </si>
  <si>
    <t xml:space="preserve">               b) imprese collegate</t>
  </si>
  <si>
    <t xml:space="preserve">               c) altre imprese</t>
  </si>
  <si>
    <t xml:space="preserve">               d) imprese sottoposte al controllo delle controllanti</t>
  </si>
  <si>
    <t xml:space="preserve">          d bis) altre imprese</t>
  </si>
  <si>
    <t>Totale partecipazioni (1)</t>
  </si>
  <si>
    <t xml:space="preserve">           2) crediti</t>
  </si>
  <si>
    <t xml:space="preserve">               a) verso imprese controllate</t>
  </si>
  <si>
    <t xml:space="preserve">               b) verso imrese collegate</t>
  </si>
  <si>
    <t xml:space="preserve">               c) verso controllanti</t>
  </si>
  <si>
    <t xml:space="preserve">               d) verso imprese sottoposte al controllo delle controllanti</t>
  </si>
  <si>
    <t xml:space="preserve">          d bis) verso altri</t>
  </si>
  <si>
    <t>Totale crediti (2)</t>
  </si>
  <si>
    <t xml:space="preserve">           3) altri titoli</t>
  </si>
  <si>
    <t xml:space="preserve">           4) strumenti finanziari derivati attivi</t>
  </si>
  <si>
    <t>Totale immobilizzazioni finanziarie</t>
  </si>
  <si>
    <t>Totale immobilizzazioni</t>
  </si>
  <si>
    <t>C) ATTIVO CIRCOLANTE</t>
  </si>
  <si>
    <t xml:space="preserve">     I  -  Rimanenze</t>
  </si>
  <si>
    <t xml:space="preserve">           1) materie prime, sussidiarie e di consumo</t>
  </si>
  <si>
    <t xml:space="preserve">           2) prodotti in corso di lavorazione e semilavorati</t>
  </si>
  <si>
    <t xml:space="preserve">           3) lavori in corso su ordinazione</t>
  </si>
  <si>
    <t xml:space="preserve">           4) prodotti finiti e merci</t>
  </si>
  <si>
    <t xml:space="preserve">           5) acconti</t>
  </si>
  <si>
    <t>Totale rimanenze</t>
  </si>
  <si>
    <t xml:space="preserve">     II  - Crediti (con indicazione degli importi esigibili entro l'esercizio successivo)</t>
  </si>
  <si>
    <t xml:space="preserve">           1) verso clienti</t>
  </si>
  <si>
    <t xml:space="preserve">               - entro l'esercizio successivo</t>
  </si>
  <si>
    <t xml:space="preserve">               - oltre l'esercizio successivo</t>
  </si>
  <si>
    <t xml:space="preserve">           2) verso imprese controllate</t>
  </si>
  <si>
    <t xml:space="preserve">           3) verso imprese collegate</t>
  </si>
  <si>
    <t xml:space="preserve">           4) verso controllanti</t>
  </si>
  <si>
    <t xml:space="preserve">           5) verso imprese sottoposte al controllo delle controllanti</t>
  </si>
  <si>
    <t xml:space="preserve">     5-bis) crediti tributari</t>
  </si>
  <si>
    <t xml:space="preserve">     5-ter) imposte anticipate</t>
  </si>
  <si>
    <t xml:space="preserve">5-quater) verso altri </t>
  </si>
  <si>
    <t xml:space="preserve">           6) verso Regione Toscana </t>
  </si>
  <si>
    <t>Totale crediti</t>
  </si>
  <si>
    <t xml:space="preserve">     III - Attività finanziarie che non costituiscono immobilizzazioni</t>
  </si>
  <si>
    <t xml:space="preserve">           1) partecipazioni in imprese controllate</t>
  </si>
  <si>
    <t xml:space="preserve">           2) partecipazioni in imprese collegate</t>
  </si>
  <si>
    <t xml:space="preserve">           3) partecipazioni in imprese controllanti</t>
  </si>
  <si>
    <t xml:space="preserve">      3 bis) partecipazioni in imprese sottoposte al controllo delle controllanti</t>
  </si>
  <si>
    <t xml:space="preserve">           4) altre partecipazioni</t>
  </si>
  <si>
    <t xml:space="preserve">           5) strumenti finanziari derivati attivi</t>
  </si>
  <si>
    <t xml:space="preserve">           6) altri titoli</t>
  </si>
  <si>
    <t>Totale attività finanziarie che non costituiscono immobilizzazioni</t>
  </si>
  <si>
    <t xml:space="preserve">     IV - Disponibilità liquide</t>
  </si>
  <si>
    <t xml:space="preserve">           1) depositi bancari e postali</t>
  </si>
  <si>
    <t xml:space="preserve">           2) assegni</t>
  </si>
  <si>
    <t xml:space="preserve">           3) denaro e valori in cassa</t>
  </si>
  <si>
    <t>Totale disponibilità liquide</t>
  </si>
  <si>
    <t>Totale Attivo circolante</t>
  </si>
  <si>
    <t xml:space="preserve">  D) RATEI E RISCONTI</t>
  </si>
  <si>
    <t xml:space="preserve">          1)ratei e risconti attivi </t>
  </si>
  <si>
    <t>Totale ratei e risconti attivi</t>
  </si>
  <si>
    <t>Totale Attività</t>
  </si>
  <si>
    <t>P A S S I V O</t>
  </si>
  <si>
    <t>A) PATRIMONIO NETTO</t>
  </si>
  <si>
    <t xml:space="preserve">       I    -  Capitale sociale</t>
  </si>
  <si>
    <t xml:space="preserve">       II   -  Riserva da sovrapprezzo azioni</t>
  </si>
  <si>
    <t xml:space="preserve">       III  -  Riserve di rivalutazione</t>
  </si>
  <si>
    <t xml:space="preserve">       IV  -  Riserva legale</t>
  </si>
  <si>
    <t xml:space="preserve">       V   -  Riserve statutarie</t>
  </si>
  <si>
    <t xml:space="preserve">       VI -  Altre riserve, distintamente indicate</t>
  </si>
  <si>
    <t xml:space="preserve">                          - Riserva straordinaria</t>
  </si>
  <si>
    <t xml:space="preserve">                          - Riserva da rivalutazione ex Legge n.2/09</t>
  </si>
  <si>
    <t xml:space="preserve">                          - Riserva in sospensione</t>
  </si>
  <si>
    <t xml:space="preserve">                          - Riserva soggetta a tassazione frazionata</t>
  </si>
  <si>
    <t xml:space="preserve">                          - Riserva in sospensione liberata</t>
  </si>
  <si>
    <t xml:space="preserve">                          - Riserva ammortamenti anticipati</t>
  </si>
  <si>
    <t xml:space="preserve">                          - Riserva di fusione</t>
  </si>
  <si>
    <t xml:space="preserve">                          - Versamenti in conto aumento di capitale</t>
  </si>
  <si>
    <t xml:space="preserve">       VII -  Riserva per operazioni di copertura dei flussi finanziari attesi</t>
  </si>
  <si>
    <t xml:space="preserve">      VIII - Utili (Perdite) portati a nuovo</t>
  </si>
  <si>
    <t xml:space="preserve">      IX   -  Utile(Perdita) dell' esercizio</t>
  </si>
  <si>
    <t xml:space="preserve">      IX   -  Riserva negativa per azioni proprie in portafoglio</t>
  </si>
  <si>
    <t xml:space="preserve">     Totale Patrimonio netto</t>
  </si>
  <si>
    <t>B) FONDI PER RISCHI ED ONERI</t>
  </si>
  <si>
    <t xml:space="preserve">        1) per trattamento di quiescenza ed obblighi simili</t>
  </si>
  <si>
    <t xml:space="preserve">        2) per imposte, anche differite</t>
  </si>
  <si>
    <t xml:space="preserve">        3) strumenti finanziari derivati passivi</t>
  </si>
  <si>
    <t xml:space="preserve">        4) altri</t>
  </si>
  <si>
    <t xml:space="preserve"> </t>
  </si>
  <si>
    <t>Totale fondi per rischi ed oneri</t>
  </si>
  <si>
    <t>C) TRATT.DI FINE RAPP.LAVORO SUB.</t>
  </si>
  <si>
    <t>D)  DEBITI (con separata indicazione degli importi esigibili oltre l'esercizio successivo)</t>
  </si>
  <si>
    <t xml:space="preserve">        1) obbligazioni</t>
  </si>
  <si>
    <t xml:space="preserve">        2) obbligazioni convertibili</t>
  </si>
  <si>
    <t xml:space="preserve">        3) debiti verso soci per finanziamenti</t>
  </si>
  <si>
    <t xml:space="preserve">        4) debiti verso banche</t>
  </si>
  <si>
    <t xml:space="preserve">        5) debiti verso altri finanziatori</t>
  </si>
  <si>
    <t xml:space="preserve">        6) acconti</t>
  </si>
  <si>
    <t xml:space="preserve">        7) debiti verso fornitori</t>
  </si>
  <si>
    <t xml:space="preserve">        8) debiti rappresentati da titoli di credito</t>
  </si>
  <si>
    <t xml:space="preserve">        9) debiti verso imprese controllate</t>
  </si>
  <si>
    <t xml:space="preserve">        10) debiti verso imprese collegate</t>
  </si>
  <si>
    <t xml:space="preserve">        11) debiti verso soci proprietari</t>
  </si>
  <si>
    <t xml:space="preserve">   11 bis) debiti verso imprese sottoposte al controllo delle controllanti</t>
  </si>
  <si>
    <t xml:space="preserve">        12) debiti tributari</t>
  </si>
  <si>
    <t xml:space="preserve">        13) debiti verso istituti di previdenza e di sicurezza sociale </t>
  </si>
  <si>
    <t xml:space="preserve">        14) altri debiti </t>
  </si>
  <si>
    <t xml:space="preserve">        14) debiti verso azionisti di minoranza</t>
  </si>
  <si>
    <t>Totale debiti</t>
  </si>
  <si>
    <t>E) RATEI E RISCONTI</t>
  </si>
  <si>
    <t xml:space="preserve">       1) ratei  e risconti passivi </t>
  </si>
  <si>
    <t>Totale ratei e risconti passivi</t>
  </si>
  <si>
    <t>Totale Passività</t>
  </si>
  <si>
    <t>Totale Passività e Patrimonio netto</t>
  </si>
  <si>
    <t xml:space="preserve">C O N T O   E C O N O M I C O </t>
  </si>
  <si>
    <t xml:space="preserve"> A) VALORE DELLA PRODUZIONE</t>
  </si>
  <si>
    <t xml:space="preserve">       1)   ricavi delle vendite e delle prestazioni</t>
  </si>
  <si>
    <t xml:space="preserve">       2)   var. delle riman.di prod.in corso di lav.,semil.e prod.fin.</t>
  </si>
  <si>
    <t xml:space="preserve">       3)   variaz. dei lavori in corso su ordinazione</t>
  </si>
  <si>
    <t xml:space="preserve">       4)   incrementi di immobilizzazioni per lavori interni</t>
  </si>
  <si>
    <t xml:space="preserve">       5)   altri ricavi e proventi</t>
  </si>
  <si>
    <t xml:space="preserve">             - altri ricavi</t>
  </si>
  <si>
    <t xml:space="preserve">             - contributi in conto esercizio</t>
  </si>
  <si>
    <t xml:space="preserve">                      Totale altri ricavi e proventi</t>
  </si>
  <si>
    <t>Totale valore della produzione</t>
  </si>
  <si>
    <t xml:space="preserve"> B) COSTI DELLA PRODUZIONE</t>
  </si>
  <si>
    <t xml:space="preserve">       6)  per materie prime,sussidiarie, di consumo e merci</t>
  </si>
  <si>
    <t xml:space="preserve">       7)  per servizi</t>
  </si>
  <si>
    <t xml:space="preserve">       8)  per godimento di beni di terzi</t>
  </si>
  <si>
    <t xml:space="preserve">       9)  per il personale</t>
  </si>
  <si>
    <t xml:space="preserve">            - a) salari e stipendi</t>
  </si>
  <si>
    <t xml:space="preserve">            - b) oneri sociali </t>
  </si>
  <si>
    <t xml:space="preserve">            - c) trattamento di fine rapporto</t>
  </si>
  <si>
    <t xml:space="preserve">            - d) trattamento di quiescenza e simili</t>
  </si>
  <si>
    <t xml:space="preserve">            - e) altri costi </t>
  </si>
  <si>
    <t xml:space="preserve">       Totale costi per il personale </t>
  </si>
  <si>
    <t xml:space="preserve">       10) ammortamenti e svalutazioni</t>
  </si>
  <si>
    <t xml:space="preserve">             - a) ammortamento delle immobilizzazioni immateriali</t>
  </si>
  <si>
    <t xml:space="preserve">             - b) ammortamento delle immobilizzazioni materiali</t>
  </si>
  <si>
    <t xml:space="preserve">             - c) altre svalutazioni delle immobilizzazioni</t>
  </si>
  <si>
    <t xml:space="preserve">             - d) svalutazione dei crediti compresi nell'attivo circolante </t>
  </si>
  <si>
    <t xml:space="preserve">       Totale ammortamenti e svalutazioni </t>
  </si>
  <si>
    <t xml:space="preserve">       11) variazioni delle rimanenze di mat.prime, sussid. e di consumo</t>
  </si>
  <si>
    <t xml:space="preserve">       12) accantonamenti per rischi</t>
  </si>
  <si>
    <t xml:space="preserve">       13) altri accantonamenti</t>
  </si>
  <si>
    <t xml:space="preserve">       14) oneri diversi di gestione</t>
  </si>
  <si>
    <t>Totale costi della produzione</t>
  </si>
  <si>
    <t>Differenza tra valore e costi della produzione (A-B)</t>
  </si>
  <si>
    <t xml:space="preserve"> C) Proventi ed oneri finanziari</t>
  </si>
  <si>
    <t xml:space="preserve">      15)  proventi da partecipazioni</t>
  </si>
  <si>
    <t xml:space="preserve">             - a) in imprese controllate</t>
  </si>
  <si>
    <t xml:space="preserve">             - b) in imprese collegate</t>
  </si>
  <si>
    <t xml:space="preserve">             - c) in imprese controllanti</t>
  </si>
  <si>
    <t xml:space="preserve">             - d) in imprese sottoposte al controllo delle controllanti</t>
  </si>
  <si>
    <t xml:space="preserve">             - e) in altre imprese</t>
  </si>
  <si>
    <t xml:space="preserve">      16)  altri proventi finanziari</t>
  </si>
  <si>
    <t xml:space="preserve">             a) da crediti iscritti nelle immobilizzazioni</t>
  </si>
  <si>
    <t xml:space="preserve">                i) verso terzi</t>
  </si>
  <si>
    <t xml:space="preserve">               ii) verso imprese controllate</t>
  </si>
  <si>
    <t xml:space="preserve">              iii) verso imprese collegate</t>
  </si>
  <si>
    <t xml:space="preserve">              iv) verso imprese controllanti</t>
  </si>
  <si>
    <t xml:space="preserve">              v) verso imprese sottoposto al controllo delle controllanti</t>
  </si>
  <si>
    <t xml:space="preserve">             b) da titoli iscritti nelle immob.ni che non costituiscono partecipazioni</t>
  </si>
  <si>
    <t xml:space="preserve">             c) da titoli iscritti nell'attivio ircoante che non costituiscono immobilizzazioni</t>
  </si>
  <si>
    <t xml:space="preserve">             d) da proventi diversi dai precedenti</t>
  </si>
  <si>
    <t>Totale altri proventi</t>
  </si>
  <si>
    <t xml:space="preserve">      17) interessi e altri oneri finanziari</t>
  </si>
  <si>
    <t xml:space="preserve">      17-bis) utili e perdite su cambi</t>
  </si>
  <si>
    <t>Totale proventi ed oneri finanziari</t>
  </si>
  <si>
    <t xml:space="preserve"> D) RETTIFICHE DI VALORE DI ATTIVITA' FINANAZIARIE</t>
  </si>
  <si>
    <t xml:space="preserve">      18)  rivalutazioni</t>
  </si>
  <si>
    <t xml:space="preserve">             - a) di partecipazioni</t>
  </si>
  <si>
    <t xml:space="preserve">             - b) di immobilizzazioni finanziarie che non costituiscono immobilizzazioni</t>
  </si>
  <si>
    <t xml:space="preserve">             - c) di titoli iscritti nell'attivo cirtcolanet che non costituiscono immobilizzazioni</t>
  </si>
  <si>
    <t xml:space="preserve">             - d) di strumenti finanziari derivati</t>
  </si>
  <si>
    <t xml:space="preserve">      19)  svalutazioni</t>
  </si>
  <si>
    <t xml:space="preserve">Totale rettifiche di valore </t>
  </si>
  <si>
    <t xml:space="preserve">     Risultato prima delle imposte (A-B+-C+-D+-E)</t>
  </si>
  <si>
    <t xml:space="preserve">       20)  imposte sul reddito dell'esercizio correnti, anticipate e differite</t>
  </si>
  <si>
    <t xml:space="preserve">Totale imposte sul reddito </t>
  </si>
  <si>
    <t xml:space="preserve">       21) Utile (Perdita) dell'esercizio</t>
  </si>
  <si>
    <t>(-1.476.950.272)</t>
  </si>
  <si>
    <t>Anno 2024</t>
  </si>
  <si>
    <t>Rettifiche di valore</t>
  </si>
  <si>
    <t>Ammort.e sval.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</si>
</sst>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Garamond"/>
      <family val="1"/>
    </font>
    <font>
      <sz val="10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sz val="14"/>
      <name val="Garamond"/>
      <family val="1"/>
    </font>
    <font>
      <sz val="11"/>
      <color theme="1"/>
      <name val="Sego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0" xfId="1" applyFont="1"/>
    <xf numFmtId="3" fontId="4" fillId="0" borderId="0" xfId="1" applyNumberFormat="1" applyFont="1"/>
    <xf numFmtId="0" fontId="5" fillId="0" borderId="1" xfId="1" applyFont="1" applyBorder="1"/>
    <xf numFmtId="0" fontId="5" fillId="0" borderId="1" xfId="1" applyFont="1" applyBorder="1" applyAlignment="1">
      <alignment horizontal="centerContinuous"/>
    </xf>
    <xf numFmtId="3" fontId="6" fillId="0" borderId="1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" fontId="4" fillId="0" borderId="2" xfId="1" applyNumberFormat="1" applyFont="1" applyBorder="1"/>
    <xf numFmtId="0" fontId="7" fillId="0" borderId="0" xfId="1" applyFont="1"/>
    <xf numFmtId="3" fontId="7" fillId="0" borderId="0" xfId="1" applyNumberFormat="1" applyFont="1"/>
    <xf numFmtId="0" fontId="7" fillId="0" borderId="1" xfId="1" applyFont="1" applyBorder="1"/>
    <xf numFmtId="3" fontId="7" fillId="0" borderId="1" xfId="1" applyNumberFormat="1" applyFont="1" applyBorder="1"/>
    <xf numFmtId="0" fontId="7" fillId="0" borderId="1" xfId="1" applyFont="1" applyBorder="1" applyAlignment="1">
      <alignment horizontal="right"/>
    </xf>
    <xf numFmtId="3" fontId="7" fillId="2" borderId="1" xfId="1" applyNumberFormat="1" applyFont="1" applyFill="1" applyBorder="1"/>
    <xf numFmtId="0" fontId="4" fillId="0" borderId="1" xfId="1" applyFont="1" applyBorder="1" applyAlignment="1">
      <alignment horizontal="right"/>
    </xf>
    <xf numFmtId="0" fontId="7" fillId="0" borderId="0" xfId="1" applyFont="1" applyAlignment="1">
      <alignment horizontal="right"/>
    </xf>
    <xf numFmtId="0" fontId="4" fillId="0" borderId="3" xfId="1" applyFont="1" applyBorder="1"/>
    <xf numFmtId="0" fontId="7" fillId="0" borderId="3" xfId="1" applyFont="1" applyBorder="1" applyAlignment="1">
      <alignment horizontal="right"/>
    </xf>
    <xf numFmtId="3" fontId="7" fillId="0" borderId="3" xfId="1" applyNumberFormat="1" applyFont="1" applyBorder="1"/>
    <xf numFmtId="0" fontId="4" fillId="2" borderId="1" xfId="1" applyFont="1" applyFill="1" applyBorder="1"/>
    <xf numFmtId="3" fontId="4" fillId="0" borderId="1" xfId="1" applyNumberFormat="1" applyFont="1" applyBorder="1"/>
    <xf numFmtId="3" fontId="4" fillId="2" borderId="1" xfId="1" applyNumberFormat="1" applyFont="1" applyFill="1" applyBorder="1"/>
    <xf numFmtId="3" fontId="8" fillId="0" borderId="0" xfId="1" applyNumberFormat="1" applyFont="1"/>
    <xf numFmtId="4" fontId="4" fillId="0" borderId="0" xfId="1" applyNumberFormat="1" applyFont="1"/>
    <xf numFmtId="0" fontId="4" fillId="2" borderId="0" xfId="1" applyFont="1" applyFill="1"/>
    <xf numFmtId="3" fontId="4" fillId="2" borderId="0" xfId="1" applyNumberFormat="1" applyFont="1" applyFill="1"/>
    <xf numFmtId="3" fontId="4" fillId="0" borderId="0" xfId="1" applyNumberFormat="1" applyFont="1" applyAlignment="1">
      <alignment wrapText="1"/>
    </xf>
    <xf numFmtId="3" fontId="6" fillId="0" borderId="0" xfId="1" applyNumberFormat="1" applyFont="1"/>
    <xf numFmtId="3" fontId="4" fillId="3" borderId="0" xfId="1" applyNumberFormat="1" applyFont="1" applyFill="1"/>
    <xf numFmtId="0" fontId="7" fillId="0" borderId="4" xfId="1" applyFont="1" applyBorder="1"/>
    <xf numFmtId="0" fontId="7" fillId="0" borderId="5" xfId="1" applyFont="1" applyBorder="1"/>
    <xf numFmtId="3" fontId="7" fillId="0" borderId="5" xfId="1" applyNumberFormat="1" applyFont="1" applyBorder="1"/>
    <xf numFmtId="3" fontId="7" fillId="0" borderId="6" xfId="1" applyNumberFormat="1" applyFont="1" applyBorder="1"/>
    <xf numFmtId="3" fontId="7" fillId="0" borderId="7" xfId="1" applyNumberFormat="1" applyFont="1" applyBorder="1"/>
    <xf numFmtId="0" fontId="9" fillId="0" borderId="0" xfId="1" applyFont="1"/>
    <xf numFmtId="0" fontId="5" fillId="0" borderId="1" xfId="1" applyFont="1" applyBorder="1" applyAlignment="1">
      <alignment horizontal="left"/>
    </xf>
    <xf numFmtId="3" fontId="7" fillId="0" borderId="3" xfId="1" applyNumberFormat="1" applyFont="1" applyBorder="1" applyAlignment="1">
      <alignment horizontal="right"/>
    </xf>
    <xf numFmtId="164" fontId="4" fillId="0" borderId="0" xfId="1" applyNumberFormat="1" applyFont="1"/>
    <xf numFmtId="0" fontId="7" fillId="0" borderId="8" xfId="1" applyFont="1" applyBorder="1"/>
    <xf numFmtId="0" fontId="7" fillId="0" borderId="8" xfId="1" applyFont="1" applyBorder="1" applyAlignment="1">
      <alignment horizontal="right"/>
    </xf>
    <xf numFmtId="3" fontId="7" fillId="0" borderId="8" xfId="1" applyNumberFormat="1" applyFont="1" applyBorder="1"/>
    <xf numFmtId="0" fontId="7" fillId="0" borderId="9" xfId="1" applyFont="1" applyBorder="1"/>
    <xf numFmtId="0" fontId="7" fillId="0" borderId="9" xfId="1" applyFont="1" applyBorder="1" applyAlignment="1">
      <alignment horizontal="right"/>
    </xf>
    <xf numFmtId="3" fontId="7" fillId="0" borderId="9" xfId="1" applyNumberFormat="1" applyFont="1" applyBorder="1"/>
    <xf numFmtId="0" fontId="4" fillId="0" borderId="5" xfId="1" applyFont="1" applyBorder="1"/>
    <xf numFmtId="0" fontId="7" fillId="0" borderId="9" xfId="1" applyFont="1" applyBorder="1" applyAlignment="1">
      <alignment horizontal="left"/>
    </xf>
    <xf numFmtId="0" fontId="7" fillId="0" borderId="5" xfId="1" applyFont="1" applyBorder="1" applyAlignment="1">
      <alignment horizontal="right"/>
    </xf>
    <xf numFmtId="0" fontId="10" fillId="0" borderId="1" xfId="1" applyFont="1" applyBorder="1"/>
    <xf numFmtId="0" fontId="10" fillId="0" borderId="0" xfId="1" applyFont="1"/>
    <xf numFmtId="3" fontId="10" fillId="0" borderId="0" xfId="1" applyNumberFormat="1" applyFont="1"/>
    <xf numFmtId="0" fontId="5" fillId="0" borderId="0" xfId="1" applyFont="1" applyAlignment="1">
      <alignment horizontal="center"/>
    </xf>
    <xf numFmtId="3" fontId="10" fillId="0" borderId="0" xfId="1" applyNumberFormat="1" applyFont="1" applyAlignment="1">
      <alignment horizontal="centerContinuous"/>
    </xf>
    <xf numFmtId="0" fontId="8" fillId="0" borderId="1" xfId="1" applyFont="1" applyBorder="1"/>
    <xf numFmtId="49" fontId="6" fillId="0" borderId="1" xfId="1" applyNumberFormat="1" applyFont="1" applyBorder="1" applyAlignment="1">
      <alignment horizontal="right"/>
    </xf>
    <xf numFmtId="49" fontId="6" fillId="0" borderId="0" xfId="1" applyNumberFormat="1" applyFont="1" applyAlignment="1">
      <alignment horizontal="right"/>
    </xf>
    <xf numFmtId="0" fontId="8" fillId="0" borderId="0" xfId="1" applyFont="1"/>
    <xf numFmtId="0" fontId="6" fillId="0" borderId="0" xfId="1" applyFont="1"/>
    <xf numFmtId="10" fontId="8" fillId="0" borderId="0" xfId="2" applyNumberFormat="1" applyFont="1"/>
    <xf numFmtId="164" fontId="8" fillId="0" borderId="0" xfId="1" applyNumberFormat="1" applyFont="1"/>
    <xf numFmtId="3" fontId="8" fillId="0" borderId="1" xfId="1" applyNumberFormat="1" applyFont="1" applyBorder="1"/>
    <xf numFmtId="3" fontId="6" fillId="0" borderId="1" xfId="1" applyNumberFormat="1" applyFont="1" applyBorder="1"/>
    <xf numFmtId="9" fontId="4" fillId="0" borderId="0" xfId="2" applyFont="1"/>
    <xf numFmtId="0" fontId="8" fillId="2" borderId="0" xfId="1" applyFont="1" applyFill="1"/>
    <xf numFmtId="0" fontId="6" fillId="2" borderId="0" xfId="1" applyFont="1" applyFill="1"/>
    <xf numFmtId="3" fontId="6" fillId="2" borderId="0" xfId="1" applyNumberFormat="1" applyFont="1" applyFill="1"/>
    <xf numFmtId="0" fontId="6" fillId="0" borderId="1" xfId="1" applyFont="1" applyBorder="1"/>
    <xf numFmtId="164" fontId="6" fillId="0" borderId="1" xfId="1" applyNumberFormat="1" applyFont="1" applyBorder="1"/>
    <xf numFmtId="3" fontId="8" fillId="2" borderId="0" xfId="1" applyNumberFormat="1" applyFont="1" applyFill="1"/>
    <xf numFmtId="164" fontId="8" fillId="2" borderId="0" xfId="1" applyNumberFormat="1" applyFont="1" applyFill="1"/>
    <xf numFmtId="0" fontId="6" fillId="0" borderId="4" xfId="1" applyFont="1" applyBorder="1"/>
    <xf numFmtId="0" fontId="6" fillId="0" borderId="5" xfId="1" applyFont="1" applyBorder="1"/>
    <xf numFmtId="164" fontId="6" fillId="0" borderId="5" xfId="1" applyNumberFormat="1" applyFont="1" applyBorder="1"/>
    <xf numFmtId="3" fontId="6" fillId="0" borderId="5" xfId="1" applyNumberFormat="1" applyFont="1" applyBorder="1"/>
    <xf numFmtId="3" fontId="6" fillId="0" borderId="6" xfId="1" applyNumberFormat="1" applyFont="1" applyBorder="1"/>
    <xf numFmtId="3" fontId="6" fillId="0" borderId="7" xfId="1" applyNumberFormat="1" applyFont="1" applyBorder="1" applyAlignment="1">
      <alignment horizontal="right"/>
    </xf>
    <xf numFmtId="49" fontId="6" fillId="0" borderId="7" xfId="1" applyNumberFormat="1" applyFont="1" applyBorder="1" applyAlignment="1">
      <alignment horizontal="right"/>
    </xf>
    <xf numFmtId="0" fontId="4" fillId="0" borderId="0" xfId="1" applyFont="1" applyAlignment="1">
      <alignment horizontal="center"/>
    </xf>
    <xf numFmtId="3" fontId="0" fillId="0" borderId="0" xfId="0" applyNumberFormat="1"/>
    <xf numFmtId="0" fontId="11" fillId="0" borderId="0" xfId="0" applyFont="1"/>
  </cellXfs>
  <cellStyles count="3">
    <cellStyle name="Normale" xfId="0" builtinId="0"/>
    <cellStyle name="Normale 2" xfId="1" xr:uid="{B79010EF-307E-40D7-9212-165B2F733CE4}"/>
    <cellStyle name="Percentuale 2" xfId="2" xr:uid="{B693FE97-57B0-4166-88B2-2166C6B18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it-IT" b="1">
                <a:latin typeface="Segoe UI" panose="020B0502040204020203" pitchFamily="34" charset="0"/>
                <a:cs typeface="Segoe UI" panose="020B0502040204020203" pitchFamily="34" charset="0"/>
              </a:rPr>
              <a:t>Stato Patrimoniale attivo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152267819391138E-3"/>
                  <c:y val="-0.324845435987168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BA-428F-B759-EDC8EBA960DA}"/>
                </c:ext>
              </c:extLst>
            </c:dLbl>
            <c:dLbl>
              <c:idx val="1"/>
              <c:layout>
                <c:manualLayout>
                  <c:x val="9.602195824524519E-3"/>
                  <c:y val="-0.335838801399825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BA-428F-B759-EDC8EBA960DA}"/>
                </c:ext>
              </c:extLst>
            </c:dLbl>
            <c:dLbl>
              <c:idx val="4"/>
              <c:layout>
                <c:manualLayout>
                  <c:x val="-1.3717422606463671E-3"/>
                  <c:y val="-0.114496573344998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BA-428F-B759-EDC8EBA960DA}"/>
                </c:ext>
              </c:extLst>
            </c:dLbl>
            <c:dLbl>
              <c:idx val="5"/>
              <c:layout>
                <c:manualLayout>
                  <c:x val="1.3717422606462665E-3"/>
                  <c:y val="-0.118947214931466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BA-428F-B759-EDC8EBA96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Graficizzazione!$A$7:$A$13</c:f>
              <c:strCache>
                <c:ptCount val="7"/>
                <c:pt idx="0">
                  <c:v>Immobilizzazioni Immateriali</c:v>
                </c:pt>
                <c:pt idx="1">
                  <c:v>Immobilizzazioni Materiali</c:v>
                </c:pt>
                <c:pt idx="2">
                  <c:v>Immobilizzazioni Finanziarie</c:v>
                </c:pt>
                <c:pt idx="3">
                  <c:v>Rimanenze</c:v>
                </c:pt>
                <c:pt idx="4">
                  <c:v>Crediti</c:v>
                </c:pt>
                <c:pt idx="5">
                  <c:v>Disponibilità liquide</c:v>
                </c:pt>
                <c:pt idx="6">
                  <c:v>Ratei e Risconti</c:v>
                </c:pt>
              </c:strCache>
            </c:strRef>
          </c:cat>
          <c:val>
            <c:numRef>
              <c:f>Graficizzazione!$B$7:$B$13</c:f>
              <c:numCache>
                <c:formatCode>#,##0</c:formatCode>
                <c:ptCount val="7"/>
                <c:pt idx="0">
                  <c:v>27469801</c:v>
                </c:pt>
                <c:pt idx="1">
                  <c:v>29222341</c:v>
                </c:pt>
                <c:pt idx="2">
                  <c:v>6017</c:v>
                </c:pt>
                <c:pt idx="3">
                  <c:v>40514</c:v>
                </c:pt>
                <c:pt idx="4">
                  <c:v>5443733.21</c:v>
                </c:pt>
                <c:pt idx="5">
                  <c:v>6429223</c:v>
                </c:pt>
                <c:pt idx="6">
                  <c:v>452824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A-428F-B759-EDC8EBA96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30592"/>
        <c:axId val="118239712"/>
      </c:barChart>
      <c:catAx>
        <c:axId val="118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18239712"/>
        <c:crosses val="autoZero"/>
        <c:auto val="1"/>
        <c:lblAlgn val="ctr"/>
        <c:lblOffset val="100"/>
        <c:noMultiLvlLbl val="0"/>
      </c:catAx>
      <c:valAx>
        <c:axId val="1182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23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it-IT" b="1">
                <a:latin typeface="Segoe UI" panose="020B0502040204020203" pitchFamily="34" charset="0"/>
                <a:cs typeface="Segoe UI" panose="020B0502040204020203" pitchFamily="34" charset="0"/>
              </a:rPr>
              <a:t>Stato Patrimoniale passivo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152267819391016E-3"/>
                  <c:y val="-0.231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D2-4360-BEC9-1685C1826BBC}"/>
                </c:ext>
              </c:extLst>
            </c:dLbl>
            <c:dLbl>
              <c:idx val="2"/>
              <c:layout>
                <c:manualLayout>
                  <c:x val="-2.7434845212927846E-3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D2-4360-BEC9-1685C1826BBC}"/>
                </c:ext>
              </c:extLst>
            </c:dLbl>
            <c:dLbl>
              <c:idx val="3"/>
              <c:layout>
                <c:manualLayout>
                  <c:x val="-1.005932703853568E-16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D2-4360-BEC9-1685C1826BBC}"/>
                </c:ext>
              </c:extLst>
            </c:dLbl>
            <c:dLbl>
              <c:idx val="4"/>
              <c:layout>
                <c:manualLayout>
                  <c:x val="2.7434845212927343E-3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D2-4360-BEC9-1685C1826BBC}"/>
                </c:ext>
              </c:extLst>
            </c:dLbl>
            <c:dLbl>
              <c:idx val="5"/>
              <c:layout>
                <c:manualLayout>
                  <c:x val="0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D2-4360-BEC9-1685C1826BBC}"/>
                </c:ext>
              </c:extLst>
            </c:dLbl>
            <c:dLbl>
              <c:idx val="6"/>
              <c:layout>
                <c:manualLayout>
                  <c:x val="0"/>
                  <c:y val="-0.347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D2-4360-BEC9-1685C1826BBC}"/>
                </c:ext>
              </c:extLst>
            </c:dLbl>
            <c:dLbl>
              <c:idx val="7"/>
              <c:layout>
                <c:manualLayout>
                  <c:x val="-1.005932703853568E-16"/>
                  <c:y val="-0.111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436220303535236E-2"/>
                      <c:h val="0.129560367454068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6D2-4360-BEC9-1685C1826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Graficizzazione!$A$23:$A$30</c:f>
              <c:strCache>
                <c:ptCount val="8"/>
                <c:pt idx="0">
                  <c:v>Capitale</c:v>
                </c:pt>
                <c:pt idx="1">
                  <c:v>Riserva legale</c:v>
                </c:pt>
                <c:pt idx="2">
                  <c:v>Altre riserve</c:v>
                </c:pt>
                <c:pt idx="3">
                  <c:v>Utile d'Esercizio</c:v>
                </c:pt>
                <c:pt idx="4">
                  <c:v>Fondi risch ed Oneri</c:v>
                </c:pt>
                <c:pt idx="5">
                  <c:v>TFR</c:v>
                </c:pt>
                <c:pt idx="6">
                  <c:v>Debiti</c:v>
                </c:pt>
                <c:pt idx="7">
                  <c:v>Ratei e risconti</c:v>
                </c:pt>
              </c:strCache>
            </c:strRef>
          </c:cat>
          <c:val>
            <c:numRef>
              <c:f>Graficizzazione!$B$23:$B$30</c:f>
              <c:numCache>
                <c:formatCode>#,##0</c:formatCode>
                <c:ptCount val="8"/>
                <c:pt idx="0">
                  <c:v>21778036</c:v>
                </c:pt>
                <c:pt idx="1">
                  <c:v>0</c:v>
                </c:pt>
                <c:pt idx="2">
                  <c:v>-3446267</c:v>
                </c:pt>
                <c:pt idx="3">
                  <c:v>2359010</c:v>
                </c:pt>
                <c:pt idx="4">
                  <c:v>4375272</c:v>
                </c:pt>
                <c:pt idx="5">
                  <c:v>1502753</c:v>
                </c:pt>
                <c:pt idx="6">
                  <c:v>39859789</c:v>
                </c:pt>
                <c:pt idx="7">
                  <c:v>2635860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D2-4360-BEC9-1685C1826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30592"/>
        <c:axId val="118239712"/>
      </c:barChart>
      <c:catAx>
        <c:axId val="118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18239712"/>
        <c:crosses val="autoZero"/>
        <c:auto val="1"/>
        <c:lblAlgn val="ctr"/>
        <c:lblOffset val="200"/>
        <c:noMultiLvlLbl val="0"/>
      </c:catAx>
      <c:valAx>
        <c:axId val="1182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23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it-IT" b="1">
                <a:latin typeface="Segoe UI" panose="020B0502040204020203" pitchFamily="34" charset="0"/>
                <a:cs typeface="Segoe UI" panose="020B0502040204020203" pitchFamily="34" charset="0"/>
              </a:rPr>
              <a:t>Valore della produzione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1288257162573809E-2"/>
          <c:y val="0.15782407407407409"/>
          <c:w val="0.90813560892773071"/>
          <c:h val="0.7212580198308544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434845212927343E-3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8B-4F2C-B922-7897BA4D778D}"/>
                </c:ext>
              </c:extLst>
            </c:dLbl>
            <c:dLbl>
              <c:idx val="1"/>
              <c:layout>
                <c:manualLayout>
                  <c:x val="-2.7434845212927343E-3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8B-4F2C-B922-7897BA4D77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Graficizzazione!$A$42:$A$43</c:f>
              <c:strCache>
                <c:ptCount val="2"/>
                <c:pt idx="0">
                  <c:v>Ricavi delle vendite e prestazioni</c:v>
                </c:pt>
                <c:pt idx="1">
                  <c:v>Altri Ricavi</c:v>
                </c:pt>
              </c:strCache>
            </c:strRef>
          </c:cat>
          <c:val>
            <c:numRef>
              <c:f>Graficizzazione!$B$42:$B$43</c:f>
              <c:numCache>
                <c:formatCode>#,##0</c:formatCode>
                <c:ptCount val="2"/>
                <c:pt idx="0">
                  <c:v>24241990</c:v>
                </c:pt>
                <c:pt idx="1">
                  <c:v>633874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B-4F2C-B922-7897BA4D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30592"/>
        <c:axId val="118239712"/>
      </c:barChart>
      <c:catAx>
        <c:axId val="118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239712"/>
        <c:crosses val="autoZero"/>
        <c:auto val="1"/>
        <c:lblAlgn val="ctr"/>
        <c:lblOffset val="100"/>
        <c:noMultiLvlLbl val="0"/>
      </c:catAx>
      <c:valAx>
        <c:axId val="1182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23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i"/>
                <a:ea typeface="+mn-ea"/>
                <a:cs typeface="+mn-cs"/>
              </a:defRPr>
            </a:pPr>
            <a:r>
              <a:rPr lang="en-US" b="1">
                <a:latin typeface="Ui"/>
              </a:rPr>
              <a:t>Altre voci di conto economico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i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1288257162573809E-2"/>
          <c:y val="0.15782407407407409"/>
          <c:w val="0.90813560892773071"/>
          <c:h val="0.7212580198308544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717422606463671E-3"/>
                  <c:y val="8.796296296296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3-45B4-B422-025CEEF9869F}"/>
                </c:ext>
              </c:extLst>
            </c:dLbl>
            <c:dLbl>
              <c:idx val="1"/>
              <c:layout>
                <c:manualLayout>
                  <c:x val="-2.7434845212927846E-3"/>
                  <c:y val="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03-45B4-B422-025CEEF9869F}"/>
                </c:ext>
              </c:extLst>
            </c:dLbl>
            <c:dLbl>
              <c:idx val="2"/>
              <c:layout>
                <c:manualLayout>
                  <c:x val="0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03-45B4-B422-025CEEF9869F}"/>
                </c:ext>
              </c:extLst>
            </c:dLbl>
            <c:dLbl>
              <c:idx val="3"/>
              <c:layout>
                <c:manualLayout>
                  <c:x val="-5.4869690425855691E-3"/>
                  <c:y val="-0.347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03-45B4-B422-025CEEF98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Graficizzazione!$A$80:$A$83</c:f>
              <c:strCache>
                <c:ptCount val="4"/>
                <c:pt idx="0">
                  <c:v>Proventi ed Oneri Finanziari</c:v>
                </c:pt>
                <c:pt idx="1">
                  <c:v>Rettifiche di valore</c:v>
                </c:pt>
                <c:pt idx="2">
                  <c:v>Imposte</c:v>
                </c:pt>
                <c:pt idx="3">
                  <c:v>Utle d'esercizio</c:v>
                </c:pt>
              </c:strCache>
            </c:strRef>
          </c:cat>
          <c:val>
            <c:numRef>
              <c:f>Graficizzazione!$B$80:$B$83</c:f>
              <c:numCache>
                <c:formatCode>#,##0</c:formatCode>
                <c:ptCount val="4"/>
                <c:pt idx="0">
                  <c:v>-234454</c:v>
                </c:pt>
                <c:pt idx="1">
                  <c:v>-112060</c:v>
                </c:pt>
                <c:pt idx="2">
                  <c:v>-267472</c:v>
                </c:pt>
                <c:pt idx="3">
                  <c:v>2359010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3-45B4-B422-025CEEF9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30592"/>
        <c:axId val="118239712"/>
      </c:barChart>
      <c:catAx>
        <c:axId val="118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18239712"/>
        <c:crosses val="autoZero"/>
        <c:auto val="1"/>
        <c:lblAlgn val="ctr"/>
        <c:lblOffset val="300"/>
        <c:noMultiLvlLbl val="0"/>
      </c:catAx>
      <c:valAx>
        <c:axId val="1182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23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it-IT" b="1">
                <a:latin typeface="Segoe UI" panose="020B0502040204020203" pitchFamily="34" charset="0"/>
                <a:cs typeface="Segoe UI" panose="020B0502040204020203" pitchFamily="34" charset="0"/>
              </a:rPr>
              <a:t>Costi della produzione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1288257162573809E-2"/>
          <c:y val="0.15782407407407409"/>
          <c:w val="0.90813560892773071"/>
          <c:h val="0.7212580198308544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01851851851851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B5-461C-B19A-E84A6AA41AC9}"/>
                </c:ext>
              </c:extLst>
            </c:dLbl>
            <c:dLbl>
              <c:idx val="1"/>
              <c:layout>
                <c:manualLayout>
                  <c:x val="-5.0296635192678402E-17"/>
                  <c:y val="-0.39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B5-461C-B19A-E84A6AA41AC9}"/>
                </c:ext>
              </c:extLst>
            </c:dLbl>
            <c:dLbl>
              <c:idx val="2"/>
              <c:layout>
                <c:manualLayout>
                  <c:x val="0"/>
                  <c:y val="-7.407407407407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B5-461C-B19A-E84A6AA41AC9}"/>
                </c:ext>
              </c:extLst>
            </c:dLbl>
            <c:dLbl>
              <c:idx val="3"/>
              <c:layout>
                <c:manualLayout>
                  <c:x val="0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B5-461C-B19A-E84A6AA41AC9}"/>
                </c:ext>
              </c:extLst>
            </c:dLbl>
            <c:dLbl>
              <c:idx val="4"/>
              <c:layout>
                <c:manualLayout>
                  <c:x val="0"/>
                  <c:y val="-0.111111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B5-461C-B19A-E84A6AA41AC9}"/>
                </c:ext>
              </c:extLst>
            </c:dLbl>
            <c:dLbl>
              <c:idx val="5"/>
              <c:layout>
                <c:manualLayout>
                  <c:x val="1.3717422606462665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B5-461C-B19A-E84A6AA41AC9}"/>
                </c:ext>
              </c:extLst>
            </c:dLbl>
            <c:dLbl>
              <c:idx val="7"/>
              <c:layout>
                <c:manualLayout>
                  <c:x val="-1.3717422606463671E-3"/>
                  <c:y val="-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B5-461C-B19A-E84A6AA41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Graficizzazione!$A$58:$A$65</c:f>
              <c:strCache>
                <c:ptCount val="8"/>
                <c:pt idx="0">
                  <c:v>Materie prime</c:v>
                </c:pt>
                <c:pt idx="1">
                  <c:v>Servizi</c:v>
                </c:pt>
                <c:pt idx="2">
                  <c:v>Godimento beni di terzi</c:v>
                </c:pt>
                <c:pt idx="3">
                  <c:v>Personale</c:v>
                </c:pt>
                <c:pt idx="4">
                  <c:v>Ammort.e sval.</c:v>
                </c:pt>
                <c:pt idx="5">
                  <c:v>Var. riman. Materie prime</c:v>
                </c:pt>
                <c:pt idx="6">
                  <c:v>Accanton. Rischi</c:v>
                </c:pt>
                <c:pt idx="7">
                  <c:v>Oneri div. Gestione</c:v>
                </c:pt>
              </c:strCache>
            </c:strRef>
          </c:cat>
          <c:val>
            <c:numRef>
              <c:f>Graficizzazione!$B$58:$B$65</c:f>
              <c:numCache>
                <c:formatCode>#,##0</c:formatCode>
                <c:ptCount val="8"/>
                <c:pt idx="0">
                  <c:v>161295</c:v>
                </c:pt>
                <c:pt idx="1">
                  <c:v>15806253</c:v>
                </c:pt>
                <c:pt idx="2">
                  <c:v>462676</c:v>
                </c:pt>
                <c:pt idx="3">
                  <c:v>2347346</c:v>
                </c:pt>
                <c:pt idx="4">
                  <c:v>1937559</c:v>
                </c:pt>
                <c:pt idx="5">
                  <c:v>445</c:v>
                </c:pt>
                <c:pt idx="6">
                  <c:v>0</c:v>
                </c:pt>
                <c:pt idx="7">
                  <c:v>1187294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B5-461C-B19A-E84A6AA41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30592"/>
        <c:axId val="118239712"/>
      </c:barChart>
      <c:catAx>
        <c:axId val="118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239712"/>
        <c:crosses val="autoZero"/>
        <c:auto val="1"/>
        <c:lblAlgn val="ctr"/>
        <c:lblOffset val="100"/>
        <c:noMultiLvlLbl val="0"/>
      </c:catAx>
      <c:valAx>
        <c:axId val="1182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23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2</xdr:row>
      <xdr:rowOff>4762</xdr:rowOff>
    </xdr:from>
    <xdr:to>
      <xdr:col>19</xdr:col>
      <xdr:colOff>495299</xdr:colOff>
      <xdr:row>16</xdr:row>
      <xdr:rowOff>80962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DA760CD-3E04-C64D-DC7E-ED079B7EE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19</xdr:col>
      <xdr:colOff>609599</xdr:colOff>
      <xdr:row>33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91B05F0-1F2D-4CE2-AF18-84350EE33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38</xdr:row>
      <xdr:rowOff>0</xdr:rowOff>
    </xdr:from>
    <xdr:to>
      <xdr:col>19</xdr:col>
      <xdr:colOff>609599</xdr:colOff>
      <xdr:row>52</xdr:row>
      <xdr:rowOff>76200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39702AFD-08D9-4301-91E6-398B40C88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77</xdr:row>
      <xdr:rowOff>0</xdr:rowOff>
    </xdr:from>
    <xdr:to>
      <xdr:col>19</xdr:col>
      <xdr:colOff>609599</xdr:colOff>
      <xdr:row>91</xdr:row>
      <xdr:rowOff>76200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869C56E5-B474-483D-BC28-BF9566D02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55</xdr:row>
      <xdr:rowOff>0</xdr:rowOff>
    </xdr:from>
    <xdr:to>
      <xdr:col>19</xdr:col>
      <xdr:colOff>609599</xdr:colOff>
      <xdr:row>69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CE439633-B1E6-4C6A-B969-3AB0E885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9996-58E9-4473-A848-C16C2ABDB17F}">
  <dimension ref="A3:I100"/>
  <sheetViews>
    <sheetView tabSelected="1" topLeftCell="A61" workbookViewId="0">
      <selection activeCell="V52" sqref="V52"/>
    </sheetView>
  </sheetViews>
  <sheetFormatPr defaultRowHeight="15"/>
  <cols>
    <col min="1" max="1" width="30.140625" bestFit="1" customWidth="1"/>
    <col min="2" max="2" width="10.140625" bestFit="1" customWidth="1"/>
    <col min="9" max="9" width="10.85546875" bestFit="1" customWidth="1"/>
  </cols>
  <sheetData>
    <row r="3" spans="1:2">
      <c r="B3" t="s">
        <v>241</v>
      </c>
    </row>
    <row r="5" spans="1:2">
      <c r="A5" s="1" t="s">
        <v>23</v>
      </c>
    </row>
    <row r="6" spans="1:2">
      <c r="A6" t="s">
        <v>24</v>
      </c>
    </row>
    <row r="7" spans="1:2">
      <c r="A7" t="s">
        <v>0</v>
      </c>
      <c r="B7" s="81">
        <f>'Situazione Patrimoniale'!C17</f>
        <v>27469801</v>
      </c>
    </row>
    <row r="8" spans="1:2">
      <c r="A8" t="s">
        <v>1</v>
      </c>
      <c r="B8" s="81">
        <f>'Situazione Patrimoniale'!C24</f>
        <v>29222341</v>
      </c>
    </row>
    <row r="9" spans="1:2">
      <c r="A9" t="s">
        <v>2</v>
      </c>
      <c r="B9" s="81">
        <f>'Situazione Patrimoniale'!C42</f>
        <v>6017</v>
      </c>
    </row>
    <row r="10" spans="1:2">
      <c r="A10" t="s">
        <v>3</v>
      </c>
      <c r="B10" s="81">
        <f>'Situazione Patrimoniale'!C52</f>
        <v>40514</v>
      </c>
    </row>
    <row r="11" spans="1:2">
      <c r="A11" t="s">
        <v>4</v>
      </c>
      <c r="B11" s="81">
        <f>'Situazione Patrimoniale'!C70</f>
        <v>5443733.21</v>
      </c>
    </row>
    <row r="12" spans="1:2">
      <c r="A12" t="s">
        <v>5</v>
      </c>
      <c r="B12" s="81">
        <f>'Situazione Patrimoniale'!C85</f>
        <v>6429223</v>
      </c>
    </row>
    <row r="13" spans="1:2">
      <c r="A13" t="s">
        <v>6</v>
      </c>
      <c r="B13" s="81">
        <f>'Situazione Patrimoniale'!C90</f>
        <v>452824</v>
      </c>
    </row>
    <row r="21" spans="1:2">
      <c r="A21" s="1" t="s">
        <v>25</v>
      </c>
    </row>
    <row r="22" spans="1:2">
      <c r="A22" s="1"/>
    </row>
    <row r="23" spans="1:2">
      <c r="A23" t="s">
        <v>7</v>
      </c>
      <c r="B23" s="81">
        <f>'Situazione Patrimoniale'!C99</f>
        <v>21778036</v>
      </c>
    </row>
    <row r="24" spans="1:2">
      <c r="A24" t="s">
        <v>8</v>
      </c>
      <c r="B24" s="81">
        <f>'Situazione Patrimoniale'!C102</f>
        <v>0</v>
      </c>
    </row>
    <row r="25" spans="1:2">
      <c r="A25" t="s">
        <v>30</v>
      </c>
      <c r="B25" s="81">
        <f>'Situazione Patrimoniale'!C100+'Situazione Patrimoniale'!C101+'Situazione Patrimoniale'!C103+'Situazione Patrimoniale'!C104+'Situazione Patrimoniale'!C113+'Situazione Patrimoniale'!C114+'Situazione Patrimoniale'!C116</f>
        <v>-3446267</v>
      </c>
    </row>
    <row r="26" spans="1:2">
      <c r="A26" t="s">
        <v>29</v>
      </c>
      <c r="B26" s="81">
        <f>'Situazione Patrimoniale'!C115</f>
        <v>2359010</v>
      </c>
    </row>
    <row r="27" spans="1:2">
      <c r="A27" t="s">
        <v>9</v>
      </c>
      <c r="B27" s="81">
        <f>'Situazione Patrimoniale'!C124</f>
        <v>4375272</v>
      </c>
    </row>
    <row r="28" spans="1:2">
      <c r="A28" t="s">
        <v>10</v>
      </c>
      <c r="B28" s="81">
        <f>'Situazione Patrimoniale'!C126</f>
        <v>1502753</v>
      </c>
    </row>
    <row r="29" spans="1:2">
      <c r="A29" t="s">
        <v>11</v>
      </c>
      <c r="B29" s="81">
        <f>'Situazione Patrimoniale'!C159</f>
        <v>39859789</v>
      </c>
    </row>
    <row r="30" spans="1:2">
      <c r="A30" t="s">
        <v>12</v>
      </c>
      <c r="B30" s="81">
        <f>'Situazione Patrimoniale'!C163</f>
        <v>2635860</v>
      </c>
    </row>
    <row r="40" spans="1:9">
      <c r="A40" s="1" t="s">
        <v>26</v>
      </c>
    </row>
    <row r="42" spans="1:9">
      <c r="A42" t="s">
        <v>13</v>
      </c>
      <c r="B42" s="81">
        <f>'Conto Economico'!C5</f>
        <v>24241990</v>
      </c>
    </row>
    <row r="43" spans="1:9">
      <c r="A43" t="s">
        <v>14</v>
      </c>
      <c r="B43" s="81">
        <f>'Conto Economico'!C12</f>
        <v>633874</v>
      </c>
    </row>
    <row r="45" spans="1:9">
      <c r="I45" s="81"/>
    </row>
    <row r="46" spans="1:9">
      <c r="I46" s="81"/>
    </row>
    <row r="47" spans="1:9">
      <c r="I47" s="81"/>
    </row>
    <row r="56" spans="1:2">
      <c r="A56" s="1" t="s">
        <v>27</v>
      </c>
    </row>
    <row r="58" spans="1:2">
      <c r="A58" t="s">
        <v>15</v>
      </c>
      <c r="B58" s="81">
        <f>'Conto Economico'!C16</f>
        <v>161295</v>
      </c>
    </row>
    <row r="59" spans="1:2">
      <c r="A59" t="s">
        <v>16</v>
      </c>
      <c r="B59" s="81">
        <f>'Conto Economico'!C17</f>
        <v>15806253</v>
      </c>
    </row>
    <row r="60" spans="1:2">
      <c r="A60" t="s">
        <v>31</v>
      </c>
      <c r="B60" s="81">
        <f>'Conto Economico'!C18</f>
        <v>462676</v>
      </c>
    </row>
    <row r="61" spans="1:2">
      <c r="A61" t="s">
        <v>32</v>
      </c>
      <c r="B61" s="81">
        <f>'Conto Economico'!C25</f>
        <v>2347346</v>
      </c>
    </row>
    <row r="62" spans="1:2">
      <c r="A62" t="s">
        <v>243</v>
      </c>
      <c r="B62" s="81">
        <f>'Conto Economico'!C31</f>
        <v>1937559</v>
      </c>
    </row>
    <row r="63" spans="1:2">
      <c r="A63" t="s">
        <v>17</v>
      </c>
      <c r="B63" s="81">
        <f>'Conto Economico'!C32</f>
        <v>445</v>
      </c>
    </row>
    <row r="64" spans="1:2">
      <c r="A64" t="s">
        <v>18</v>
      </c>
      <c r="B64" s="81">
        <f>'Conto Economico'!C33+'Conto Economico'!C34</f>
        <v>0</v>
      </c>
    </row>
    <row r="65" spans="1:2">
      <c r="A65" t="s">
        <v>19</v>
      </c>
      <c r="B65" s="81">
        <f>'Conto Economico'!C35</f>
        <v>1187294</v>
      </c>
    </row>
    <row r="74" spans="1:2">
      <c r="B74" s="81"/>
    </row>
    <row r="78" spans="1:2">
      <c r="A78" s="1" t="s">
        <v>28</v>
      </c>
    </row>
    <row r="79" spans="1:2">
      <c r="B79" s="81"/>
    </row>
    <row r="80" spans="1:2">
      <c r="A80" t="s">
        <v>20</v>
      </c>
      <c r="B80" s="81">
        <f>'Conto Economico'!C71</f>
        <v>-234454</v>
      </c>
    </row>
    <row r="81" spans="1:2">
      <c r="A81" t="s">
        <v>242</v>
      </c>
      <c r="B81" s="81">
        <f>'Conto Economico'!C84</f>
        <v>-112060</v>
      </c>
    </row>
    <row r="82" spans="1:2">
      <c r="A82" t="s">
        <v>21</v>
      </c>
      <c r="B82" s="81">
        <f>'Conto Economico'!C89</f>
        <v>-267472</v>
      </c>
    </row>
    <row r="83" spans="1:2">
      <c r="A83" t="s">
        <v>22</v>
      </c>
      <c r="B83" s="81">
        <f>'Conto Economico'!C91</f>
        <v>2359010</v>
      </c>
    </row>
    <row r="100" spans="5:5">
      <c r="E100" s="8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D104-A8AF-4243-855F-E664D686A263}">
  <dimension ref="A1:O174"/>
  <sheetViews>
    <sheetView showGridLines="0" topLeftCell="A98" zoomScaleNormal="100" workbookViewId="0">
      <selection activeCell="C150" sqref="C150"/>
    </sheetView>
  </sheetViews>
  <sheetFormatPr defaultRowHeight="12.95" customHeight="1"/>
  <cols>
    <col min="1" max="2" width="35.7109375" style="4" customWidth="1"/>
    <col min="3" max="4" width="16.7109375" style="4" customWidth="1"/>
    <col min="5" max="5" width="19.42578125" style="4" hidden="1" customWidth="1"/>
    <col min="6" max="7" width="16.5703125" style="4" hidden="1" customWidth="1"/>
    <col min="8" max="9" width="16.7109375" style="5" hidden="1" customWidth="1"/>
    <col min="10" max="10" width="15.7109375" style="5" hidden="1" customWidth="1"/>
    <col min="11" max="11" width="3.7109375" style="4" customWidth="1"/>
    <col min="12" max="12" width="9.7109375" style="4" bestFit="1" customWidth="1"/>
    <col min="13" max="13" width="12.5703125" style="4" customWidth="1"/>
    <col min="14" max="14" width="3.7109375" style="4" customWidth="1"/>
    <col min="15" max="15" width="15.85546875" style="4" customWidth="1"/>
    <col min="16" max="16" width="9.140625" style="4"/>
    <col min="17" max="17" width="13.28515625" style="4" bestFit="1" customWidth="1"/>
    <col min="18" max="256" width="9.140625" style="4"/>
    <col min="257" max="258" width="35.7109375" style="4" customWidth="1"/>
    <col min="259" max="260" width="16.7109375" style="4" customWidth="1"/>
    <col min="261" max="266" width="0" style="4" hidden="1" customWidth="1"/>
    <col min="267" max="267" width="3.7109375" style="4" customWidth="1"/>
    <col min="268" max="268" width="9.7109375" style="4" bestFit="1" customWidth="1"/>
    <col min="269" max="269" width="12.5703125" style="4" customWidth="1"/>
    <col min="270" max="270" width="3.7109375" style="4" customWidth="1"/>
    <col min="271" max="271" width="15.85546875" style="4" customWidth="1"/>
    <col min="272" max="272" width="9.140625" style="4"/>
    <col min="273" max="273" width="13.28515625" style="4" bestFit="1" customWidth="1"/>
    <col min="274" max="512" width="9.140625" style="4"/>
    <col min="513" max="514" width="35.7109375" style="4" customWidth="1"/>
    <col min="515" max="516" width="16.7109375" style="4" customWidth="1"/>
    <col min="517" max="522" width="0" style="4" hidden="1" customWidth="1"/>
    <col min="523" max="523" width="3.7109375" style="4" customWidth="1"/>
    <col min="524" max="524" width="9.7109375" style="4" bestFit="1" customWidth="1"/>
    <col min="525" max="525" width="12.5703125" style="4" customWidth="1"/>
    <col min="526" max="526" width="3.7109375" style="4" customWidth="1"/>
    <col min="527" max="527" width="15.85546875" style="4" customWidth="1"/>
    <col min="528" max="528" width="9.140625" style="4"/>
    <col min="529" max="529" width="13.28515625" style="4" bestFit="1" customWidth="1"/>
    <col min="530" max="768" width="9.140625" style="4"/>
    <col min="769" max="770" width="35.7109375" style="4" customWidth="1"/>
    <col min="771" max="772" width="16.7109375" style="4" customWidth="1"/>
    <col min="773" max="778" width="0" style="4" hidden="1" customWidth="1"/>
    <col min="779" max="779" width="3.7109375" style="4" customWidth="1"/>
    <col min="780" max="780" width="9.7109375" style="4" bestFit="1" customWidth="1"/>
    <col min="781" max="781" width="12.5703125" style="4" customWidth="1"/>
    <col min="782" max="782" width="3.7109375" style="4" customWidth="1"/>
    <col min="783" max="783" width="15.85546875" style="4" customWidth="1"/>
    <col min="784" max="784" width="9.140625" style="4"/>
    <col min="785" max="785" width="13.28515625" style="4" bestFit="1" customWidth="1"/>
    <col min="786" max="1024" width="9.140625" style="4"/>
    <col min="1025" max="1026" width="35.7109375" style="4" customWidth="1"/>
    <col min="1027" max="1028" width="16.7109375" style="4" customWidth="1"/>
    <col min="1029" max="1034" width="0" style="4" hidden="1" customWidth="1"/>
    <col min="1035" max="1035" width="3.7109375" style="4" customWidth="1"/>
    <col min="1036" max="1036" width="9.7109375" style="4" bestFit="1" customWidth="1"/>
    <col min="1037" max="1037" width="12.5703125" style="4" customWidth="1"/>
    <col min="1038" max="1038" width="3.7109375" style="4" customWidth="1"/>
    <col min="1039" max="1039" width="15.85546875" style="4" customWidth="1"/>
    <col min="1040" max="1040" width="9.140625" style="4"/>
    <col min="1041" max="1041" width="13.28515625" style="4" bestFit="1" customWidth="1"/>
    <col min="1042" max="1280" width="9.140625" style="4"/>
    <col min="1281" max="1282" width="35.7109375" style="4" customWidth="1"/>
    <col min="1283" max="1284" width="16.7109375" style="4" customWidth="1"/>
    <col min="1285" max="1290" width="0" style="4" hidden="1" customWidth="1"/>
    <col min="1291" max="1291" width="3.7109375" style="4" customWidth="1"/>
    <col min="1292" max="1292" width="9.7109375" style="4" bestFit="1" customWidth="1"/>
    <col min="1293" max="1293" width="12.5703125" style="4" customWidth="1"/>
    <col min="1294" max="1294" width="3.7109375" style="4" customWidth="1"/>
    <col min="1295" max="1295" width="15.85546875" style="4" customWidth="1"/>
    <col min="1296" max="1296" width="9.140625" style="4"/>
    <col min="1297" max="1297" width="13.28515625" style="4" bestFit="1" customWidth="1"/>
    <col min="1298" max="1536" width="9.140625" style="4"/>
    <col min="1537" max="1538" width="35.7109375" style="4" customWidth="1"/>
    <col min="1539" max="1540" width="16.7109375" style="4" customWidth="1"/>
    <col min="1541" max="1546" width="0" style="4" hidden="1" customWidth="1"/>
    <col min="1547" max="1547" width="3.7109375" style="4" customWidth="1"/>
    <col min="1548" max="1548" width="9.7109375" style="4" bestFit="1" customWidth="1"/>
    <col min="1549" max="1549" width="12.5703125" style="4" customWidth="1"/>
    <col min="1550" max="1550" width="3.7109375" style="4" customWidth="1"/>
    <col min="1551" max="1551" width="15.85546875" style="4" customWidth="1"/>
    <col min="1552" max="1552" width="9.140625" style="4"/>
    <col min="1553" max="1553" width="13.28515625" style="4" bestFit="1" customWidth="1"/>
    <col min="1554" max="1792" width="9.140625" style="4"/>
    <col min="1793" max="1794" width="35.7109375" style="4" customWidth="1"/>
    <col min="1795" max="1796" width="16.7109375" style="4" customWidth="1"/>
    <col min="1797" max="1802" width="0" style="4" hidden="1" customWidth="1"/>
    <col min="1803" max="1803" width="3.7109375" style="4" customWidth="1"/>
    <col min="1804" max="1804" width="9.7109375" style="4" bestFit="1" customWidth="1"/>
    <col min="1805" max="1805" width="12.5703125" style="4" customWidth="1"/>
    <col min="1806" max="1806" width="3.7109375" style="4" customWidth="1"/>
    <col min="1807" max="1807" width="15.85546875" style="4" customWidth="1"/>
    <col min="1808" max="1808" width="9.140625" style="4"/>
    <col min="1809" max="1809" width="13.28515625" style="4" bestFit="1" customWidth="1"/>
    <col min="1810" max="2048" width="9.140625" style="4"/>
    <col min="2049" max="2050" width="35.7109375" style="4" customWidth="1"/>
    <col min="2051" max="2052" width="16.7109375" style="4" customWidth="1"/>
    <col min="2053" max="2058" width="0" style="4" hidden="1" customWidth="1"/>
    <col min="2059" max="2059" width="3.7109375" style="4" customWidth="1"/>
    <col min="2060" max="2060" width="9.7109375" style="4" bestFit="1" customWidth="1"/>
    <col min="2061" max="2061" width="12.5703125" style="4" customWidth="1"/>
    <col min="2062" max="2062" width="3.7109375" style="4" customWidth="1"/>
    <col min="2063" max="2063" width="15.85546875" style="4" customWidth="1"/>
    <col min="2064" max="2064" width="9.140625" style="4"/>
    <col min="2065" max="2065" width="13.28515625" style="4" bestFit="1" customWidth="1"/>
    <col min="2066" max="2304" width="9.140625" style="4"/>
    <col min="2305" max="2306" width="35.7109375" style="4" customWidth="1"/>
    <col min="2307" max="2308" width="16.7109375" style="4" customWidth="1"/>
    <col min="2309" max="2314" width="0" style="4" hidden="1" customWidth="1"/>
    <col min="2315" max="2315" width="3.7109375" style="4" customWidth="1"/>
    <col min="2316" max="2316" width="9.7109375" style="4" bestFit="1" customWidth="1"/>
    <col min="2317" max="2317" width="12.5703125" style="4" customWidth="1"/>
    <col min="2318" max="2318" width="3.7109375" style="4" customWidth="1"/>
    <col min="2319" max="2319" width="15.85546875" style="4" customWidth="1"/>
    <col min="2320" max="2320" width="9.140625" style="4"/>
    <col min="2321" max="2321" width="13.28515625" style="4" bestFit="1" customWidth="1"/>
    <col min="2322" max="2560" width="9.140625" style="4"/>
    <col min="2561" max="2562" width="35.7109375" style="4" customWidth="1"/>
    <col min="2563" max="2564" width="16.7109375" style="4" customWidth="1"/>
    <col min="2565" max="2570" width="0" style="4" hidden="1" customWidth="1"/>
    <col min="2571" max="2571" width="3.7109375" style="4" customWidth="1"/>
    <col min="2572" max="2572" width="9.7109375" style="4" bestFit="1" customWidth="1"/>
    <col min="2573" max="2573" width="12.5703125" style="4" customWidth="1"/>
    <col min="2574" max="2574" width="3.7109375" style="4" customWidth="1"/>
    <col min="2575" max="2575" width="15.85546875" style="4" customWidth="1"/>
    <col min="2576" max="2576" width="9.140625" style="4"/>
    <col min="2577" max="2577" width="13.28515625" style="4" bestFit="1" customWidth="1"/>
    <col min="2578" max="2816" width="9.140625" style="4"/>
    <col min="2817" max="2818" width="35.7109375" style="4" customWidth="1"/>
    <col min="2819" max="2820" width="16.7109375" style="4" customWidth="1"/>
    <col min="2821" max="2826" width="0" style="4" hidden="1" customWidth="1"/>
    <col min="2827" max="2827" width="3.7109375" style="4" customWidth="1"/>
    <col min="2828" max="2828" width="9.7109375" style="4" bestFit="1" customWidth="1"/>
    <col min="2829" max="2829" width="12.5703125" style="4" customWidth="1"/>
    <col min="2830" max="2830" width="3.7109375" style="4" customWidth="1"/>
    <col min="2831" max="2831" width="15.85546875" style="4" customWidth="1"/>
    <col min="2832" max="2832" width="9.140625" style="4"/>
    <col min="2833" max="2833" width="13.28515625" style="4" bestFit="1" customWidth="1"/>
    <col min="2834" max="3072" width="9.140625" style="4"/>
    <col min="3073" max="3074" width="35.7109375" style="4" customWidth="1"/>
    <col min="3075" max="3076" width="16.7109375" style="4" customWidth="1"/>
    <col min="3077" max="3082" width="0" style="4" hidden="1" customWidth="1"/>
    <col min="3083" max="3083" width="3.7109375" style="4" customWidth="1"/>
    <col min="3084" max="3084" width="9.7109375" style="4" bestFit="1" customWidth="1"/>
    <col min="3085" max="3085" width="12.5703125" style="4" customWidth="1"/>
    <col min="3086" max="3086" width="3.7109375" style="4" customWidth="1"/>
    <col min="3087" max="3087" width="15.85546875" style="4" customWidth="1"/>
    <col min="3088" max="3088" width="9.140625" style="4"/>
    <col min="3089" max="3089" width="13.28515625" style="4" bestFit="1" customWidth="1"/>
    <col min="3090" max="3328" width="9.140625" style="4"/>
    <col min="3329" max="3330" width="35.7109375" style="4" customWidth="1"/>
    <col min="3331" max="3332" width="16.7109375" style="4" customWidth="1"/>
    <col min="3333" max="3338" width="0" style="4" hidden="1" customWidth="1"/>
    <col min="3339" max="3339" width="3.7109375" style="4" customWidth="1"/>
    <col min="3340" max="3340" width="9.7109375" style="4" bestFit="1" customWidth="1"/>
    <col min="3341" max="3341" width="12.5703125" style="4" customWidth="1"/>
    <col min="3342" max="3342" width="3.7109375" style="4" customWidth="1"/>
    <col min="3343" max="3343" width="15.85546875" style="4" customWidth="1"/>
    <col min="3344" max="3344" width="9.140625" style="4"/>
    <col min="3345" max="3345" width="13.28515625" style="4" bestFit="1" customWidth="1"/>
    <col min="3346" max="3584" width="9.140625" style="4"/>
    <col min="3585" max="3586" width="35.7109375" style="4" customWidth="1"/>
    <col min="3587" max="3588" width="16.7109375" style="4" customWidth="1"/>
    <col min="3589" max="3594" width="0" style="4" hidden="1" customWidth="1"/>
    <col min="3595" max="3595" width="3.7109375" style="4" customWidth="1"/>
    <col min="3596" max="3596" width="9.7109375" style="4" bestFit="1" customWidth="1"/>
    <col min="3597" max="3597" width="12.5703125" style="4" customWidth="1"/>
    <col min="3598" max="3598" width="3.7109375" style="4" customWidth="1"/>
    <col min="3599" max="3599" width="15.85546875" style="4" customWidth="1"/>
    <col min="3600" max="3600" width="9.140625" style="4"/>
    <col min="3601" max="3601" width="13.28515625" style="4" bestFit="1" customWidth="1"/>
    <col min="3602" max="3840" width="9.140625" style="4"/>
    <col min="3841" max="3842" width="35.7109375" style="4" customWidth="1"/>
    <col min="3843" max="3844" width="16.7109375" style="4" customWidth="1"/>
    <col min="3845" max="3850" width="0" style="4" hidden="1" customWidth="1"/>
    <col min="3851" max="3851" width="3.7109375" style="4" customWidth="1"/>
    <col min="3852" max="3852" width="9.7109375" style="4" bestFit="1" customWidth="1"/>
    <col min="3853" max="3853" width="12.5703125" style="4" customWidth="1"/>
    <col min="3854" max="3854" width="3.7109375" style="4" customWidth="1"/>
    <col min="3855" max="3855" width="15.85546875" style="4" customWidth="1"/>
    <col min="3856" max="3856" width="9.140625" style="4"/>
    <col min="3857" max="3857" width="13.28515625" style="4" bestFit="1" customWidth="1"/>
    <col min="3858" max="4096" width="9.140625" style="4"/>
    <col min="4097" max="4098" width="35.7109375" style="4" customWidth="1"/>
    <col min="4099" max="4100" width="16.7109375" style="4" customWidth="1"/>
    <col min="4101" max="4106" width="0" style="4" hidden="1" customWidth="1"/>
    <col min="4107" max="4107" width="3.7109375" style="4" customWidth="1"/>
    <col min="4108" max="4108" width="9.7109375" style="4" bestFit="1" customWidth="1"/>
    <col min="4109" max="4109" width="12.5703125" style="4" customWidth="1"/>
    <col min="4110" max="4110" width="3.7109375" style="4" customWidth="1"/>
    <col min="4111" max="4111" width="15.85546875" style="4" customWidth="1"/>
    <col min="4112" max="4112" width="9.140625" style="4"/>
    <col min="4113" max="4113" width="13.28515625" style="4" bestFit="1" customWidth="1"/>
    <col min="4114" max="4352" width="9.140625" style="4"/>
    <col min="4353" max="4354" width="35.7109375" style="4" customWidth="1"/>
    <col min="4355" max="4356" width="16.7109375" style="4" customWidth="1"/>
    <col min="4357" max="4362" width="0" style="4" hidden="1" customWidth="1"/>
    <col min="4363" max="4363" width="3.7109375" style="4" customWidth="1"/>
    <col min="4364" max="4364" width="9.7109375" style="4" bestFit="1" customWidth="1"/>
    <col min="4365" max="4365" width="12.5703125" style="4" customWidth="1"/>
    <col min="4366" max="4366" width="3.7109375" style="4" customWidth="1"/>
    <col min="4367" max="4367" width="15.85546875" style="4" customWidth="1"/>
    <col min="4368" max="4368" width="9.140625" style="4"/>
    <col min="4369" max="4369" width="13.28515625" style="4" bestFit="1" customWidth="1"/>
    <col min="4370" max="4608" width="9.140625" style="4"/>
    <col min="4609" max="4610" width="35.7109375" style="4" customWidth="1"/>
    <col min="4611" max="4612" width="16.7109375" style="4" customWidth="1"/>
    <col min="4613" max="4618" width="0" style="4" hidden="1" customWidth="1"/>
    <col min="4619" max="4619" width="3.7109375" style="4" customWidth="1"/>
    <col min="4620" max="4620" width="9.7109375" style="4" bestFit="1" customWidth="1"/>
    <col min="4621" max="4621" width="12.5703125" style="4" customWidth="1"/>
    <col min="4622" max="4622" width="3.7109375" style="4" customWidth="1"/>
    <col min="4623" max="4623" width="15.85546875" style="4" customWidth="1"/>
    <col min="4624" max="4624" width="9.140625" style="4"/>
    <col min="4625" max="4625" width="13.28515625" style="4" bestFit="1" customWidth="1"/>
    <col min="4626" max="4864" width="9.140625" style="4"/>
    <col min="4865" max="4866" width="35.7109375" style="4" customWidth="1"/>
    <col min="4867" max="4868" width="16.7109375" style="4" customWidth="1"/>
    <col min="4869" max="4874" width="0" style="4" hidden="1" customWidth="1"/>
    <col min="4875" max="4875" width="3.7109375" style="4" customWidth="1"/>
    <col min="4876" max="4876" width="9.7109375" style="4" bestFit="1" customWidth="1"/>
    <col min="4877" max="4877" width="12.5703125" style="4" customWidth="1"/>
    <col min="4878" max="4878" width="3.7109375" style="4" customWidth="1"/>
    <col min="4879" max="4879" width="15.85546875" style="4" customWidth="1"/>
    <col min="4880" max="4880" width="9.140625" style="4"/>
    <col min="4881" max="4881" width="13.28515625" style="4" bestFit="1" customWidth="1"/>
    <col min="4882" max="5120" width="9.140625" style="4"/>
    <col min="5121" max="5122" width="35.7109375" style="4" customWidth="1"/>
    <col min="5123" max="5124" width="16.7109375" style="4" customWidth="1"/>
    <col min="5125" max="5130" width="0" style="4" hidden="1" customWidth="1"/>
    <col min="5131" max="5131" width="3.7109375" style="4" customWidth="1"/>
    <col min="5132" max="5132" width="9.7109375" style="4" bestFit="1" customWidth="1"/>
    <col min="5133" max="5133" width="12.5703125" style="4" customWidth="1"/>
    <col min="5134" max="5134" width="3.7109375" style="4" customWidth="1"/>
    <col min="5135" max="5135" width="15.85546875" style="4" customWidth="1"/>
    <col min="5136" max="5136" width="9.140625" style="4"/>
    <col min="5137" max="5137" width="13.28515625" style="4" bestFit="1" customWidth="1"/>
    <col min="5138" max="5376" width="9.140625" style="4"/>
    <col min="5377" max="5378" width="35.7109375" style="4" customWidth="1"/>
    <col min="5379" max="5380" width="16.7109375" style="4" customWidth="1"/>
    <col min="5381" max="5386" width="0" style="4" hidden="1" customWidth="1"/>
    <col min="5387" max="5387" width="3.7109375" style="4" customWidth="1"/>
    <col min="5388" max="5388" width="9.7109375" style="4" bestFit="1" customWidth="1"/>
    <col min="5389" max="5389" width="12.5703125" style="4" customWidth="1"/>
    <col min="5390" max="5390" width="3.7109375" style="4" customWidth="1"/>
    <col min="5391" max="5391" width="15.85546875" style="4" customWidth="1"/>
    <col min="5392" max="5392" width="9.140625" style="4"/>
    <col min="5393" max="5393" width="13.28515625" style="4" bestFit="1" customWidth="1"/>
    <col min="5394" max="5632" width="9.140625" style="4"/>
    <col min="5633" max="5634" width="35.7109375" style="4" customWidth="1"/>
    <col min="5635" max="5636" width="16.7109375" style="4" customWidth="1"/>
    <col min="5637" max="5642" width="0" style="4" hidden="1" customWidth="1"/>
    <col min="5643" max="5643" width="3.7109375" style="4" customWidth="1"/>
    <col min="5644" max="5644" width="9.7109375" style="4" bestFit="1" customWidth="1"/>
    <col min="5645" max="5645" width="12.5703125" style="4" customWidth="1"/>
    <col min="5646" max="5646" width="3.7109375" style="4" customWidth="1"/>
    <col min="5647" max="5647" width="15.85546875" style="4" customWidth="1"/>
    <col min="5648" max="5648" width="9.140625" style="4"/>
    <col min="5649" max="5649" width="13.28515625" style="4" bestFit="1" customWidth="1"/>
    <col min="5650" max="5888" width="9.140625" style="4"/>
    <col min="5889" max="5890" width="35.7109375" style="4" customWidth="1"/>
    <col min="5891" max="5892" width="16.7109375" style="4" customWidth="1"/>
    <col min="5893" max="5898" width="0" style="4" hidden="1" customWidth="1"/>
    <col min="5899" max="5899" width="3.7109375" style="4" customWidth="1"/>
    <col min="5900" max="5900" width="9.7109375" style="4" bestFit="1" customWidth="1"/>
    <col min="5901" max="5901" width="12.5703125" style="4" customWidth="1"/>
    <col min="5902" max="5902" width="3.7109375" style="4" customWidth="1"/>
    <col min="5903" max="5903" width="15.85546875" style="4" customWidth="1"/>
    <col min="5904" max="5904" width="9.140625" style="4"/>
    <col min="5905" max="5905" width="13.28515625" style="4" bestFit="1" customWidth="1"/>
    <col min="5906" max="6144" width="9.140625" style="4"/>
    <col min="6145" max="6146" width="35.7109375" style="4" customWidth="1"/>
    <col min="6147" max="6148" width="16.7109375" style="4" customWidth="1"/>
    <col min="6149" max="6154" width="0" style="4" hidden="1" customWidth="1"/>
    <col min="6155" max="6155" width="3.7109375" style="4" customWidth="1"/>
    <col min="6156" max="6156" width="9.7109375" style="4" bestFit="1" customWidth="1"/>
    <col min="6157" max="6157" width="12.5703125" style="4" customWidth="1"/>
    <col min="6158" max="6158" width="3.7109375" style="4" customWidth="1"/>
    <col min="6159" max="6159" width="15.85546875" style="4" customWidth="1"/>
    <col min="6160" max="6160" width="9.140625" style="4"/>
    <col min="6161" max="6161" width="13.28515625" style="4" bestFit="1" customWidth="1"/>
    <col min="6162" max="6400" width="9.140625" style="4"/>
    <col min="6401" max="6402" width="35.7109375" style="4" customWidth="1"/>
    <col min="6403" max="6404" width="16.7109375" style="4" customWidth="1"/>
    <col min="6405" max="6410" width="0" style="4" hidden="1" customWidth="1"/>
    <col min="6411" max="6411" width="3.7109375" style="4" customWidth="1"/>
    <col min="6412" max="6412" width="9.7109375" style="4" bestFit="1" customWidth="1"/>
    <col min="6413" max="6413" width="12.5703125" style="4" customWidth="1"/>
    <col min="6414" max="6414" width="3.7109375" style="4" customWidth="1"/>
    <col min="6415" max="6415" width="15.85546875" style="4" customWidth="1"/>
    <col min="6416" max="6416" width="9.140625" style="4"/>
    <col min="6417" max="6417" width="13.28515625" style="4" bestFit="1" customWidth="1"/>
    <col min="6418" max="6656" width="9.140625" style="4"/>
    <col min="6657" max="6658" width="35.7109375" style="4" customWidth="1"/>
    <col min="6659" max="6660" width="16.7109375" style="4" customWidth="1"/>
    <col min="6661" max="6666" width="0" style="4" hidden="1" customWidth="1"/>
    <col min="6667" max="6667" width="3.7109375" style="4" customWidth="1"/>
    <col min="6668" max="6668" width="9.7109375" style="4" bestFit="1" customWidth="1"/>
    <col min="6669" max="6669" width="12.5703125" style="4" customWidth="1"/>
    <col min="6670" max="6670" width="3.7109375" style="4" customWidth="1"/>
    <col min="6671" max="6671" width="15.85546875" style="4" customWidth="1"/>
    <col min="6672" max="6672" width="9.140625" style="4"/>
    <col min="6673" max="6673" width="13.28515625" style="4" bestFit="1" customWidth="1"/>
    <col min="6674" max="6912" width="9.140625" style="4"/>
    <col min="6913" max="6914" width="35.7109375" style="4" customWidth="1"/>
    <col min="6915" max="6916" width="16.7109375" style="4" customWidth="1"/>
    <col min="6917" max="6922" width="0" style="4" hidden="1" customWidth="1"/>
    <col min="6923" max="6923" width="3.7109375" style="4" customWidth="1"/>
    <col min="6924" max="6924" width="9.7109375" style="4" bestFit="1" customWidth="1"/>
    <col min="6925" max="6925" width="12.5703125" style="4" customWidth="1"/>
    <col min="6926" max="6926" width="3.7109375" style="4" customWidth="1"/>
    <col min="6927" max="6927" width="15.85546875" style="4" customWidth="1"/>
    <col min="6928" max="6928" width="9.140625" style="4"/>
    <col min="6929" max="6929" width="13.28515625" style="4" bestFit="1" customWidth="1"/>
    <col min="6930" max="7168" width="9.140625" style="4"/>
    <col min="7169" max="7170" width="35.7109375" style="4" customWidth="1"/>
    <col min="7171" max="7172" width="16.7109375" style="4" customWidth="1"/>
    <col min="7173" max="7178" width="0" style="4" hidden="1" customWidth="1"/>
    <col min="7179" max="7179" width="3.7109375" style="4" customWidth="1"/>
    <col min="7180" max="7180" width="9.7109375" style="4" bestFit="1" customWidth="1"/>
    <col min="7181" max="7181" width="12.5703125" style="4" customWidth="1"/>
    <col min="7182" max="7182" width="3.7109375" style="4" customWidth="1"/>
    <col min="7183" max="7183" width="15.85546875" style="4" customWidth="1"/>
    <col min="7184" max="7184" width="9.140625" style="4"/>
    <col min="7185" max="7185" width="13.28515625" style="4" bestFit="1" customWidth="1"/>
    <col min="7186" max="7424" width="9.140625" style="4"/>
    <col min="7425" max="7426" width="35.7109375" style="4" customWidth="1"/>
    <col min="7427" max="7428" width="16.7109375" style="4" customWidth="1"/>
    <col min="7429" max="7434" width="0" style="4" hidden="1" customWidth="1"/>
    <col min="7435" max="7435" width="3.7109375" style="4" customWidth="1"/>
    <col min="7436" max="7436" width="9.7109375" style="4" bestFit="1" customWidth="1"/>
    <col min="7437" max="7437" width="12.5703125" style="4" customWidth="1"/>
    <col min="7438" max="7438" width="3.7109375" style="4" customWidth="1"/>
    <col min="7439" max="7439" width="15.85546875" style="4" customWidth="1"/>
    <col min="7440" max="7440" width="9.140625" style="4"/>
    <col min="7441" max="7441" width="13.28515625" style="4" bestFit="1" customWidth="1"/>
    <col min="7442" max="7680" width="9.140625" style="4"/>
    <col min="7681" max="7682" width="35.7109375" style="4" customWidth="1"/>
    <col min="7683" max="7684" width="16.7109375" style="4" customWidth="1"/>
    <col min="7685" max="7690" width="0" style="4" hidden="1" customWidth="1"/>
    <col min="7691" max="7691" width="3.7109375" style="4" customWidth="1"/>
    <col min="7692" max="7692" width="9.7109375" style="4" bestFit="1" customWidth="1"/>
    <col min="7693" max="7693" width="12.5703125" style="4" customWidth="1"/>
    <col min="7694" max="7694" width="3.7109375" style="4" customWidth="1"/>
    <col min="7695" max="7695" width="15.85546875" style="4" customWidth="1"/>
    <col min="7696" max="7696" width="9.140625" style="4"/>
    <col min="7697" max="7697" width="13.28515625" style="4" bestFit="1" customWidth="1"/>
    <col min="7698" max="7936" width="9.140625" style="4"/>
    <col min="7937" max="7938" width="35.7109375" style="4" customWidth="1"/>
    <col min="7939" max="7940" width="16.7109375" style="4" customWidth="1"/>
    <col min="7941" max="7946" width="0" style="4" hidden="1" customWidth="1"/>
    <col min="7947" max="7947" width="3.7109375" style="4" customWidth="1"/>
    <col min="7948" max="7948" width="9.7109375" style="4" bestFit="1" customWidth="1"/>
    <col min="7949" max="7949" width="12.5703125" style="4" customWidth="1"/>
    <col min="7950" max="7950" width="3.7109375" style="4" customWidth="1"/>
    <col min="7951" max="7951" width="15.85546875" style="4" customWidth="1"/>
    <col min="7952" max="7952" width="9.140625" style="4"/>
    <col min="7953" max="7953" width="13.28515625" style="4" bestFit="1" customWidth="1"/>
    <col min="7954" max="8192" width="9.140625" style="4"/>
    <col min="8193" max="8194" width="35.7109375" style="4" customWidth="1"/>
    <col min="8195" max="8196" width="16.7109375" style="4" customWidth="1"/>
    <col min="8197" max="8202" width="0" style="4" hidden="1" customWidth="1"/>
    <col min="8203" max="8203" width="3.7109375" style="4" customWidth="1"/>
    <col min="8204" max="8204" width="9.7109375" style="4" bestFit="1" customWidth="1"/>
    <col min="8205" max="8205" width="12.5703125" style="4" customWidth="1"/>
    <col min="8206" max="8206" width="3.7109375" style="4" customWidth="1"/>
    <col min="8207" max="8207" width="15.85546875" style="4" customWidth="1"/>
    <col min="8208" max="8208" width="9.140625" style="4"/>
    <col min="8209" max="8209" width="13.28515625" style="4" bestFit="1" customWidth="1"/>
    <col min="8210" max="8448" width="9.140625" style="4"/>
    <col min="8449" max="8450" width="35.7109375" style="4" customWidth="1"/>
    <col min="8451" max="8452" width="16.7109375" style="4" customWidth="1"/>
    <col min="8453" max="8458" width="0" style="4" hidden="1" customWidth="1"/>
    <col min="8459" max="8459" width="3.7109375" style="4" customWidth="1"/>
    <col min="8460" max="8460" width="9.7109375" style="4" bestFit="1" customWidth="1"/>
    <col min="8461" max="8461" width="12.5703125" style="4" customWidth="1"/>
    <col min="8462" max="8462" width="3.7109375" style="4" customWidth="1"/>
    <col min="8463" max="8463" width="15.85546875" style="4" customWidth="1"/>
    <col min="8464" max="8464" width="9.140625" style="4"/>
    <col min="8465" max="8465" width="13.28515625" style="4" bestFit="1" customWidth="1"/>
    <col min="8466" max="8704" width="9.140625" style="4"/>
    <col min="8705" max="8706" width="35.7109375" style="4" customWidth="1"/>
    <col min="8707" max="8708" width="16.7109375" style="4" customWidth="1"/>
    <col min="8709" max="8714" width="0" style="4" hidden="1" customWidth="1"/>
    <col min="8715" max="8715" width="3.7109375" style="4" customWidth="1"/>
    <col min="8716" max="8716" width="9.7109375" style="4" bestFit="1" customWidth="1"/>
    <col min="8717" max="8717" width="12.5703125" style="4" customWidth="1"/>
    <col min="8718" max="8718" width="3.7109375" style="4" customWidth="1"/>
    <col min="8719" max="8719" width="15.85546875" style="4" customWidth="1"/>
    <col min="8720" max="8720" width="9.140625" style="4"/>
    <col min="8721" max="8721" width="13.28515625" style="4" bestFit="1" customWidth="1"/>
    <col min="8722" max="8960" width="9.140625" style="4"/>
    <col min="8961" max="8962" width="35.7109375" style="4" customWidth="1"/>
    <col min="8963" max="8964" width="16.7109375" style="4" customWidth="1"/>
    <col min="8965" max="8970" width="0" style="4" hidden="1" customWidth="1"/>
    <col min="8971" max="8971" width="3.7109375" style="4" customWidth="1"/>
    <col min="8972" max="8972" width="9.7109375" style="4" bestFit="1" customWidth="1"/>
    <col min="8973" max="8973" width="12.5703125" style="4" customWidth="1"/>
    <col min="8974" max="8974" width="3.7109375" style="4" customWidth="1"/>
    <col min="8975" max="8975" width="15.85546875" style="4" customWidth="1"/>
    <col min="8976" max="8976" width="9.140625" style="4"/>
    <col min="8977" max="8977" width="13.28515625" style="4" bestFit="1" customWidth="1"/>
    <col min="8978" max="9216" width="9.140625" style="4"/>
    <col min="9217" max="9218" width="35.7109375" style="4" customWidth="1"/>
    <col min="9219" max="9220" width="16.7109375" style="4" customWidth="1"/>
    <col min="9221" max="9226" width="0" style="4" hidden="1" customWidth="1"/>
    <col min="9227" max="9227" width="3.7109375" style="4" customWidth="1"/>
    <col min="9228" max="9228" width="9.7109375" style="4" bestFit="1" customWidth="1"/>
    <col min="9229" max="9229" width="12.5703125" style="4" customWidth="1"/>
    <col min="9230" max="9230" width="3.7109375" style="4" customWidth="1"/>
    <col min="9231" max="9231" width="15.85546875" style="4" customWidth="1"/>
    <col min="9232" max="9232" width="9.140625" style="4"/>
    <col min="9233" max="9233" width="13.28515625" style="4" bestFit="1" customWidth="1"/>
    <col min="9234" max="9472" width="9.140625" style="4"/>
    <col min="9473" max="9474" width="35.7109375" style="4" customWidth="1"/>
    <col min="9475" max="9476" width="16.7109375" style="4" customWidth="1"/>
    <col min="9477" max="9482" width="0" style="4" hidden="1" customWidth="1"/>
    <col min="9483" max="9483" width="3.7109375" style="4" customWidth="1"/>
    <col min="9484" max="9484" width="9.7109375" style="4" bestFit="1" customWidth="1"/>
    <col min="9485" max="9485" width="12.5703125" style="4" customWidth="1"/>
    <col min="9486" max="9486" width="3.7109375" style="4" customWidth="1"/>
    <col min="9487" max="9487" width="15.85546875" style="4" customWidth="1"/>
    <col min="9488" max="9488" width="9.140625" style="4"/>
    <col min="9489" max="9489" width="13.28515625" style="4" bestFit="1" customWidth="1"/>
    <col min="9490" max="9728" width="9.140625" style="4"/>
    <col min="9729" max="9730" width="35.7109375" style="4" customWidth="1"/>
    <col min="9731" max="9732" width="16.7109375" style="4" customWidth="1"/>
    <col min="9733" max="9738" width="0" style="4" hidden="1" customWidth="1"/>
    <col min="9739" max="9739" width="3.7109375" style="4" customWidth="1"/>
    <col min="9740" max="9740" width="9.7109375" style="4" bestFit="1" customWidth="1"/>
    <col min="9741" max="9741" width="12.5703125" style="4" customWidth="1"/>
    <col min="9742" max="9742" width="3.7109375" style="4" customWidth="1"/>
    <col min="9743" max="9743" width="15.85546875" style="4" customWidth="1"/>
    <col min="9744" max="9744" width="9.140625" style="4"/>
    <col min="9745" max="9745" width="13.28515625" style="4" bestFit="1" customWidth="1"/>
    <col min="9746" max="9984" width="9.140625" style="4"/>
    <col min="9985" max="9986" width="35.7109375" style="4" customWidth="1"/>
    <col min="9987" max="9988" width="16.7109375" style="4" customWidth="1"/>
    <col min="9989" max="9994" width="0" style="4" hidden="1" customWidth="1"/>
    <col min="9995" max="9995" width="3.7109375" style="4" customWidth="1"/>
    <col min="9996" max="9996" width="9.7109375" style="4" bestFit="1" customWidth="1"/>
    <col min="9997" max="9997" width="12.5703125" style="4" customWidth="1"/>
    <col min="9998" max="9998" width="3.7109375" style="4" customWidth="1"/>
    <col min="9999" max="9999" width="15.85546875" style="4" customWidth="1"/>
    <col min="10000" max="10000" width="9.140625" style="4"/>
    <col min="10001" max="10001" width="13.28515625" style="4" bestFit="1" customWidth="1"/>
    <col min="10002" max="10240" width="9.140625" style="4"/>
    <col min="10241" max="10242" width="35.7109375" style="4" customWidth="1"/>
    <col min="10243" max="10244" width="16.7109375" style="4" customWidth="1"/>
    <col min="10245" max="10250" width="0" style="4" hidden="1" customWidth="1"/>
    <col min="10251" max="10251" width="3.7109375" style="4" customWidth="1"/>
    <col min="10252" max="10252" width="9.7109375" style="4" bestFit="1" customWidth="1"/>
    <col min="10253" max="10253" width="12.5703125" style="4" customWidth="1"/>
    <col min="10254" max="10254" width="3.7109375" style="4" customWidth="1"/>
    <col min="10255" max="10255" width="15.85546875" style="4" customWidth="1"/>
    <col min="10256" max="10256" width="9.140625" style="4"/>
    <col min="10257" max="10257" width="13.28515625" style="4" bestFit="1" customWidth="1"/>
    <col min="10258" max="10496" width="9.140625" style="4"/>
    <col min="10497" max="10498" width="35.7109375" style="4" customWidth="1"/>
    <col min="10499" max="10500" width="16.7109375" style="4" customWidth="1"/>
    <col min="10501" max="10506" width="0" style="4" hidden="1" customWidth="1"/>
    <col min="10507" max="10507" width="3.7109375" style="4" customWidth="1"/>
    <col min="10508" max="10508" width="9.7109375" style="4" bestFit="1" customWidth="1"/>
    <col min="10509" max="10509" width="12.5703125" style="4" customWidth="1"/>
    <col min="10510" max="10510" width="3.7109375" style="4" customWidth="1"/>
    <col min="10511" max="10511" width="15.85546875" style="4" customWidth="1"/>
    <col min="10512" max="10512" width="9.140625" style="4"/>
    <col min="10513" max="10513" width="13.28515625" style="4" bestFit="1" customWidth="1"/>
    <col min="10514" max="10752" width="9.140625" style="4"/>
    <col min="10753" max="10754" width="35.7109375" style="4" customWidth="1"/>
    <col min="10755" max="10756" width="16.7109375" style="4" customWidth="1"/>
    <col min="10757" max="10762" width="0" style="4" hidden="1" customWidth="1"/>
    <col min="10763" max="10763" width="3.7109375" style="4" customWidth="1"/>
    <col min="10764" max="10764" width="9.7109375" style="4" bestFit="1" customWidth="1"/>
    <col min="10765" max="10765" width="12.5703125" style="4" customWidth="1"/>
    <col min="10766" max="10766" width="3.7109375" style="4" customWidth="1"/>
    <col min="10767" max="10767" width="15.85546875" style="4" customWidth="1"/>
    <col min="10768" max="10768" width="9.140625" style="4"/>
    <col min="10769" max="10769" width="13.28515625" style="4" bestFit="1" customWidth="1"/>
    <col min="10770" max="11008" width="9.140625" style="4"/>
    <col min="11009" max="11010" width="35.7109375" style="4" customWidth="1"/>
    <col min="11011" max="11012" width="16.7109375" style="4" customWidth="1"/>
    <col min="11013" max="11018" width="0" style="4" hidden="1" customWidth="1"/>
    <col min="11019" max="11019" width="3.7109375" style="4" customWidth="1"/>
    <col min="11020" max="11020" width="9.7109375" style="4" bestFit="1" customWidth="1"/>
    <col min="11021" max="11021" width="12.5703125" style="4" customWidth="1"/>
    <col min="11022" max="11022" width="3.7109375" style="4" customWidth="1"/>
    <col min="11023" max="11023" width="15.85546875" style="4" customWidth="1"/>
    <col min="11024" max="11024" width="9.140625" style="4"/>
    <col min="11025" max="11025" width="13.28515625" style="4" bestFit="1" customWidth="1"/>
    <col min="11026" max="11264" width="9.140625" style="4"/>
    <col min="11265" max="11266" width="35.7109375" style="4" customWidth="1"/>
    <col min="11267" max="11268" width="16.7109375" style="4" customWidth="1"/>
    <col min="11269" max="11274" width="0" style="4" hidden="1" customWidth="1"/>
    <col min="11275" max="11275" width="3.7109375" style="4" customWidth="1"/>
    <col min="11276" max="11276" width="9.7109375" style="4" bestFit="1" customWidth="1"/>
    <col min="11277" max="11277" width="12.5703125" style="4" customWidth="1"/>
    <col min="11278" max="11278" width="3.7109375" style="4" customWidth="1"/>
    <col min="11279" max="11279" width="15.85546875" style="4" customWidth="1"/>
    <col min="11280" max="11280" width="9.140625" style="4"/>
    <col min="11281" max="11281" width="13.28515625" style="4" bestFit="1" customWidth="1"/>
    <col min="11282" max="11520" width="9.140625" style="4"/>
    <col min="11521" max="11522" width="35.7109375" style="4" customWidth="1"/>
    <col min="11523" max="11524" width="16.7109375" style="4" customWidth="1"/>
    <col min="11525" max="11530" width="0" style="4" hidden="1" customWidth="1"/>
    <col min="11531" max="11531" width="3.7109375" style="4" customWidth="1"/>
    <col min="11532" max="11532" width="9.7109375" style="4" bestFit="1" customWidth="1"/>
    <col min="11533" max="11533" width="12.5703125" style="4" customWidth="1"/>
    <col min="11534" max="11534" width="3.7109375" style="4" customWidth="1"/>
    <col min="11535" max="11535" width="15.85546875" style="4" customWidth="1"/>
    <col min="11536" max="11536" width="9.140625" style="4"/>
    <col min="11537" max="11537" width="13.28515625" style="4" bestFit="1" customWidth="1"/>
    <col min="11538" max="11776" width="9.140625" style="4"/>
    <col min="11777" max="11778" width="35.7109375" style="4" customWidth="1"/>
    <col min="11779" max="11780" width="16.7109375" style="4" customWidth="1"/>
    <col min="11781" max="11786" width="0" style="4" hidden="1" customWidth="1"/>
    <col min="11787" max="11787" width="3.7109375" style="4" customWidth="1"/>
    <col min="11788" max="11788" width="9.7109375" style="4" bestFit="1" customWidth="1"/>
    <col min="11789" max="11789" width="12.5703125" style="4" customWidth="1"/>
    <col min="11790" max="11790" width="3.7109375" style="4" customWidth="1"/>
    <col min="11791" max="11791" width="15.85546875" style="4" customWidth="1"/>
    <col min="11792" max="11792" width="9.140625" style="4"/>
    <col min="11793" max="11793" width="13.28515625" style="4" bestFit="1" customWidth="1"/>
    <col min="11794" max="12032" width="9.140625" style="4"/>
    <col min="12033" max="12034" width="35.7109375" style="4" customWidth="1"/>
    <col min="12035" max="12036" width="16.7109375" style="4" customWidth="1"/>
    <col min="12037" max="12042" width="0" style="4" hidden="1" customWidth="1"/>
    <col min="12043" max="12043" width="3.7109375" style="4" customWidth="1"/>
    <col min="12044" max="12044" width="9.7109375" style="4" bestFit="1" customWidth="1"/>
    <col min="12045" max="12045" width="12.5703125" style="4" customWidth="1"/>
    <col min="12046" max="12046" width="3.7109375" style="4" customWidth="1"/>
    <col min="12047" max="12047" width="15.85546875" style="4" customWidth="1"/>
    <col min="12048" max="12048" width="9.140625" style="4"/>
    <col min="12049" max="12049" width="13.28515625" style="4" bestFit="1" customWidth="1"/>
    <col min="12050" max="12288" width="9.140625" style="4"/>
    <col min="12289" max="12290" width="35.7109375" style="4" customWidth="1"/>
    <col min="12291" max="12292" width="16.7109375" style="4" customWidth="1"/>
    <col min="12293" max="12298" width="0" style="4" hidden="1" customWidth="1"/>
    <col min="12299" max="12299" width="3.7109375" style="4" customWidth="1"/>
    <col min="12300" max="12300" width="9.7109375" style="4" bestFit="1" customWidth="1"/>
    <col min="12301" max="12301" width="12.5703125" style="4" customWidth="1"/>
    <col min="12302" max="12302" width="3.7109375" style="4" customWidth="1"/>
    <col min="12303" max="12303" width="15.85546875" style="4" customWidth="1"/>
    <col min="12304" max="12304" width="9.140625" style="4"/>
    <col min="12305" max="12305" width="13.28515625" style="4" bestFit="1" customWidth="1"/>
    <col min="12306" max="12544" width="9.140625" style="4"/>
    <col min="12545" max="12546" width="35.7109375" style="4" customWidth="1"/>
    <col min="12547" max="12548" width="16.7109375" style="4" customWidth="1"/>
    <col min="12549" max="12554" width="0" style="4" hidden="1" customWidth="1"/>
    <col min="12555" max="12555" width="3.7109375" style="4" customWidth="1"/>
    <col min="12556" max="12556" width="9.7109375" style="4" bestFit="1" customWidth="1"/>
    <col min="12557" max="12557" width="12.5703125" style="4" customWidth="1"/>
    <col min="12558" max="12558" width="3.7109375" style="4" customWidth="1"/>
    <col min="12559" max="12559" width="15.85546875" style="4" customWidth="1"/>
    <col min="12560" max="12560" width="9.140625" style="4"/>
    <col min="12561" max="12561" width="13.28515625" style="4" bestFit="1" customWidth="1"/>
    <col min="12562" max="12800" width="9.140625" style="4"/>
    <col min="12801" max="12802" width="35.7109375" style="4" customWidth="1"/>
    <col min="12803" max="12804" width="16.7109375" style="4" customWidth="1"/>
    <col min="12805" max="12810" width="0" style="4" hidden="1" customWidth="1"/>
    <col min="12811" max="12811" width="3.7109375" style="4" customWidth="1"/>
    <col min="12812" max="12812" width="9.7109375" style="4" bestFit="1" customWidth="1"/>
    <col min="12813" max="12813" width="12.5703125" style="4" customWidth="1"/>
    <col min="12814" max="12814" width="3.7109375" style="4" customWidth="1"/>
    <col min="12815" max="12815" width="15.85546875" style="4" customWidth="1"/>
    <col min="12816" max="12816" width="9.140625" style="4"/>
    <col min="12817" max="12817" width="13.28515625" style="4" bestFit="1" customWidth="1"/>
    <col min="12818" max="13056" width="9.140625" style="4"/>
    <col min="13057" max="13058" width="35.7109375" style="4" customWidth="1"/>
    <col min="13059" max="13060" width="16.7109375" style="4" customWidth="1"/>
    <col min="13061" max="13066" width="0" style="4" hidden="1" customWidth="1"/>
    <col min="13067" max="13067" width="3.7109375" style="4" customWidth="1"/>
    <col min="13068" max="13068" width="9.7109375" style="4" bestFit="1" customWidth="1"/>
    <col min="13069" max="13069" width="12.5703125" style="4" customWidth="1"/>
    <col min="13070" max="13070" width="3.7109375" style="4" customWidth="1"/>
    <col min="13071" max="13071" width="15.85546875" style="4" customWidth="1"/>
    <col min="13072" max="13072" width="9.140625" style="4"/>
    <col min="13073" max="13073" width="13.28515625" style="4" bestFit="1" customWidth="1"/>
    <col min="13074" max="13312" width="9.140625" style="4"/>
    <col min="13313" max="13314" width="35.7109375" style="4" customWidth="1"/>
    <col min="13315" max="13316" width="16.7109375" style="4" customWidth="1"/>
    <col min="13317" max="13322" width="0" style="4" hidden="1" customWidth="1"/>
    <col min="13323" max="13323" width="3.7109375" style="4" customWidth="1"/>
    <col min="13324" max="13324" width="9.7109375" style="4" bestFit="1" customWidth="1"/>
    <col min="13325" max="13325" width="12.5703125" style="4" customWidth="1"/>
    <col min="13326" max="13326" width="3.7109375" style="4" customWidth="1"/>
    <col min="13327" max="13327" width="15.85546875" style="4" customWidth="1"/>
    <col min="13328" max="13328" width="9.140625" style="4"/>
    <col min="13329" max="13329" width="13.28515625" style="4" bestFit="1" customWidth="1"/>
    <col min="13330" max="13568" width="9.140625" style="4"/>
    <col min="13569" max="13570" width="35.7109375" style="4" customWidth="1"/>
    <col min="13571" max="13572" width="16.7109375" style="4" customWidth="1"/>
    <col min="13573" max="13578" width="0" style="4" hidden="1" customWidth="1"/>
    <col min="13579" max="13579" width="3.7109375" style="4" customWidth="1"/>
    <col min="13580" max="13580" width="9.7109375" style="4" bestFit="1" customWidth="1"/>
    <col min="13581" max="13581" width="12.5703125" style="4" customWidth="1"/>
    <col min="13582" max="13582" width="3.7109375" style="4" customWidth="1"/>
    <col min="13583" max="13583" width="15.85546875" style="4" customWidth="1"/>
    <col min="13584" max="13584" width="9.140625" style="4"/>
    <col min="13585" max="13585" width="13.28515625" style="4" bestFit="1" customWidth="1"/>
    <col min="13586" max="13824" width="9.140625" style="4"/>
    <col min="13825" max="13826" width="35.7109375" style="4" customWidth="1"/>
    <col min="13827" max="13828" width="16.7109375" style="4" customWidth="1"/>
    <col min="13829" max="13834" width="0" style="4" hidden="1" customWidth="1"/>
    <col min="13835" max="13835" width="3.7109375" style="4" customWidth="1"/>
    <col min="13836" max="13836" width="9.7109375" style="4" bestFit="1" customWidth="1"/>
    <col min="13837" max="13837" width="12.5703125" style="4" customWidth="1"/>
    <col min="13838" max="13838" width="3.7109375" style="4" customWidth="1"/>
    <col min="13839" max="13839" width="15.85546875" style="4" customWidth="1"/>
    <col min="13840" max="13840" width="9.140625" style="4"/>
    <col min="13841" max="13841" width="13.28515625" style="4" bestFit="1" customWidth="1"/>
    <col min="13842" max="14080" width="9.140625" style="4"/>
    <col min="14081" max="14082" width="35.7109375" style="4" customWidth="1"/>
    <col min="14083" max="14084" width="16.7109375" style="4" customWidth="1"/>
    <col min="14085" max="14090" width="0" style="4" hidden="1" customWidth="1"/>
    <col min="14091" max="14091" width="3.7109375" style="4" customWidth="1"/>
    <col min="14092" max="14092" width="9.7109375" style="4" bestFit="1" customWidth="1"/>
    <col min="14093" max="14093" width="12.5703125" style="4" customWidth="1"/>
    <col min="14094" max="14094" width="3.7109375" style="4" customWidth="1"/>
    <col min="14095" max="14095" width="15.85546875" style="4" customWidth="1"/>
    <col min="14096" max="14096" width="9.140625" style="4"/>
    <col min="14097" max="14097" width="13.28515625" style="4" bestFit="1" customWidth="1"/>
    <col min="14098" max="14336" width="9.140625" style="4"/>
    <col min="14337" max="14338" width="35.7109375" style="4" customWidth="1"/>
    <col min="14339" max="14340" width="16.7109375" style="4" customWidth="1"/>
    <col min="14341" max="14346" width="0" style="4" hidden="1" customWidth="1"/>
    <col min="14347" max="14347" width="3.7109375" style="4" customWidth="1"/>
    <col min="14348" max="14348" width="9.7109375" style="4" bestFit="1" customWidth="1"/>
    <col min="14349" max="14349" width="12.5703125" style="4" customWidth="1"/>
    <col min="14350" max="14350" width="3.7109375" style="4" customWidth="1"/>
    <col min="14351" max="14351" width="15.85546875" style="4" customWidth="1"/>
    <col min="14352" max="14352" width="9.140625" style="4"/>
    <col min="14353" max="14353" width="13.28515625" style="4" bestFit="1" customWidth="1"/>
    <col min="14354" max="14592" width="9.140625" style="4"/>
    <col min="14593" max="14594" width="35.7109375" style="4" customWidth="1"/>
    <col min="14595" max="14596" width="16.7109375" style="4" customWidth="1"/>
    <col min="14597" max="14602" width="0" style="4" hidden="1" customWidth="1"/>
    <col min="14603" max="14603" width="3.7109375" style="4" customWidth="1"/>
    <col min="14604" max="14604" width="9.7109375" style="4" bestFit="1" customWidth="1"/>
    <col min="14605" max="14605" width="12.5703125" style="4" customWidth="1"/>
    <col min="14606" max="14606" width="3.7109375" style="4" customWidth="1"/>
    <col min="14607" max="14607" width="15.85546875" style="4" customWidth="1"/>
    <col min="14608" max="14608" width="9.140625" style="4"/>
    <col min="14609" max="14609" width="13.28515625" style="4" bestFit="1" customWidth="1"/>
    <col min="14610" max="14848" width="9.140625" style="4"/>
    <col min="14849" max="14850" width="35.7109375" style="4" customWidth="1"/>
    <col min="14851" max="14852" width="16.7109375" style="4" customWidth="1"/>
    <col min="14853" max="14858" width="0" style="4" hidden="1" customWidth="1"/>
    <col min="14859" max="14859" width="3.7109375" style="4" customWidth="1"/>
    <col min="14860" max="14860" width="9.7109375" style="4" bestFit="1" customWidth="1"/>
    <col min="14861" max="14861" width="12.5703125" style="4" customWidth="1"/>
    <col min="14862" max="14862" width="3.7109375" style="4" customWidth="1"/>
    <col min="14863" max="14863" width="15.85546875" style="4" customWidth="1"/>
    <col min="14864" max="14864" width="9.140625" style="4"/>
    <col min="14865" max="14865" width="13.28515625" style="4" bestFit="1" customWidth="1"/>
    <col min="14866" max="15104" width="9.140625" style="4"/>
    <col min="15105" max="15106" width="35.7109375" style="4" customWidth="1"/>
    <col min="15107" max="15108" width="16.7109375" style="4" customWidth="1"/>
    <col min="15109" max="15114" width="0" style="4" hidden="1" customWidth="1"/>
    <col min="15115" max="15115" width="3.7109375" style="4" customWidth="1"/>
    <col min="15116" max="15116" width="9.7109375" style="4" bestFit="1" customWidth="1"/>
    <col min="15117" max="15117" width="12.5703125" style="4" customWidth="1"/>
    <col min="15118" max="15118" width="3.7109375" style="4" customWidth="1"/>
    <col min="15119" max="15119" width="15.85546875" style="4" customWidth="1"/>
    <col min="15120" max="15120" width="9.140625" style="4"/>
    <col min="15121" max="15121" width="13.28515625" style="4" bestFit="1" customWidth="1"/>
    <col min="15122" max="15360" width="9.140625" style="4"/>
    <col min="15361" max="15362" width="35.7109375" style="4" customWidth="1"/>
    <col min="15363" max="15364" width="16.7109375" style="4" customWidth="1"/>
    <col min="15365" max="15370" width="0" style="4" hidden="1" customWidth="1"/>
    <col min="15371" max="15371" width="3.7109375" style="4" customWidth="1"/>
    <col min="15372" max="15372" width="9.7109375" style="4" bestFit="1" customWidth="1"/>
    <col min="15373" max="15373" width="12.5703125" style="4" customWidth="1"/>
    <col min="15374" max="15374" width="3.7109375" style="4" customWidth="1"/>
    <col min="15375" max="15375" width="15.85546875" style="4" customWidth="1"/>
    <col min="15376" max="15376" width="9.140625" style="4"/>
    <col min="15377" max="15377" width="13.28515625" style="4" bestFit="1" customWidth="1"/>
    <col min="15378" max="15616" width="9.140625" style="4"/>
    <col min="15617" max="15618" width="35.7109375" style="4" customWidth="1"/>
    <col min="15619" max="15620" width="16.7109375" style="4" customWidth="1"/>
    <col min="15621" max="15626" width="0" style="4" hidden="1" customWidth="1"/>
    <col min="15627" max="15627" width="3.7109375" style="4" customWidth="1"/>
    <col min="15628" max="15628" width="9.7109375" style="4" bestFit="1" customWidth="1"/>
    <col min="15629" max="15629" width="12.5703125" style="4" customWidth="1"/>
    <col min="15630" max="15630" width="3.7109375" style="4" customWidth="1"/>
    <col min="15631" max="15631" width="15.85546875" style="4" customWidth="1"/>
    <col min="15632" max="15632" width="9.140625" style="4"/>
    <col min="15633" max="15633" width="13.28515625" style="4" bestFit="1" customWidth="1"/>
    <col min="15634" max="15872" width="9.140625" style="4"/>
    <col min="15873" max="15874" width="35.7109375" style="4" customWidth="1"/>
    <col min="15875" max="15876" width="16.7109375" style="4" customWidth="1"/>
    <col min="15877" max="15882" width="0" style="4" hidden="1" customWidth="1"/>
    <col min="15883" max="15883" width="3.7109375" style="4" customWidth="1"/>
    <col min="15884" max="15884" width="9.7109375" style="4" bestFit="1" customWidth="1"/>
    <col min="15885" max="15885" width="12.5703125" style="4" customWidth="1"/>
    <col min="15886" max="15886" width="3.7109375" style="4" customWidth="1"/>
    <col min="15887" max="15887" width="15.85546875" style="4" customWidth="1"/>
    <col min="15888" max="15888" width="9.140625" style="4"/>
    <col min="15889" max="15889" width="13.28515625" style="4" bestFit="1" customWidth="1"/>
    <col min="15890" max="16128" width="9.140625" style="4"/>
    <col min="16129" max="16130" width="35.7109375" style="4" customWidth="1"/>
    <col min="16131" max="16132" width="16.7109375" style="4" customWidth="1"/>
    <col min="16133" max="16138" width="0" style="4" hidden="1" customWidth="1"/>
    <col min="16139" max="16139" width="3.7109375" style="4" customWidth="1"/>
    <col min="16140" max="16140" width="9.7109375" style="4" bestFit="1" customWidth="1"/>
    <col min="16141" max="16141" width="12.5703125" style="4" customWidth="1"/>
    <col min="16142" max="16142" width="3.7109375" style="4" customWidth="1"/>
    <col min="16143" max="16143" width="15.85546875" style="4" customWidth="1"/>
    <col min="16144" max="16144" width="9.140625" style="4"/>
    <col min="16145" max="16145" width="13.28515625" style="4" bestFit="1" customWidth="1"/>
    <col min="16146" max="16384" width="9.140625" style="4"/>
  </cols>
  <sheetData>
    <row r="1" spans="1:14" ht="23.25">
      <c r="A1" s="2" t="s">
        <v>33</v>
      </c>
      <c r="B1" s="3"/>
      <c r="C1" s="3"/>
      <c r="D1" s="3"/>
    </row>
    <row r="3" spans="1:14" ht="15" customHeight="1">
      <c r="A3" s="6" t="s">
        <v>34</v>
      </c>
      <c r="B3" s="7"/>
      <c r="C3" s="8" t="s">
        <v>35</v>
      </c>
      <c r="D3" s="8" t="s">
        <v>36</v>
      </c>
      <c r="E3" s="9" t="s">
        <v>37</v>
      </c>
      <c r="F3" s="9" t="s">
        <v>38</v>
      </c>
      <c r="G3" s="9" t="s">
        <v>39</v>
      </c>
      <c r="H3" s="10" t="s">
        <v>40</v>
      </c>
      <c r="I3" s="10" t="s">
        <v>41</v>
      </c>
      <c r="J3" s="10" t="s">
        <v>42</v>
      </c>
    </row>
    <row r="4" spans="1:14" ht="12.95" customHeight="1">
      <c r="C4" s="5"/>
      <c r="D4" s="5"/>
      <c r="E4" s="5"/>
      <c r="F4" s="5"/>
      <c r="G4" s="5"/>
      <c r="H4" s="11"/>
      <c r="I4" s="11"/>
      <c r="J4" s="11"/>
    </row>
    <row r="5" spans="1:14" ht="12.95" customHeight="1">
      <c r="A5" s="12" t="s">
        <v>43</v>
      </c>
      <c r="B5" s="12"/>
      <c r="C5" s="5"/>
      <c r="D5" s="5"/>
      <c r="E5" s="13">
        <v>0</v>
      </c>
      <c r="F5" s="13">
        <v>0</v>
      </c>
      <c r="G5" s="13">
        <v>0</v>
      </c>
    </row>
    <row r="6" spans="1:14" ht="12.95" hidden="1" customHeight="1">
      <c r="A6" s="14" t="s">
        <v>44</v>
      </c>
      <c r="B6" s="14"/>
      <c r="C6" s="15"/>
      <c r="D6" s="15"/>
      <c r="E6" s="15">
        <f t="shared" ref="E6:J6" si="0">E5</f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</row>
    <row r="7" spans="1:14" ht="12.95" customHeight="1">
      <c r="C7" s="5"/>
      <c r="D7" s="5"/>
      <c r="E7" s="5"/>
      <c r="F7" s="5"/>
      <c r="G7" s="5"/>
    </row>
    <row r="8" spans="1:14" ht="12.95" customHeight="1">
      <c r="A8" s="12" t="s">
        <v>45</v>
      </c>
      <c r="B8" s="12"/>
      <c r="C8" s="5"/>
      <c r="D8" s="5"/>
      <c r="E8" s="5"/>
      <c r="F8" s="5"/>
      <c r="G8" s="5"/>
    </row>
    <row r="9" spans="1:14" ht="12.95" customHeight="1">
      <c r="A9" s="12" t="s">
        <v>46</v>
      </c>
      <c r="C9" s="5"/>
      <c r="D9" s="5"/>
      <c r="E9" s="5"/>
      <c r="F9" s="5"/>
      <c r="G9" s="5"/>
    </row>
    <row r="10" spans="1:14" ht="12.95" hidden="1" customHeight="1">
      <c r="A10" s="4" t="s">
        <v>47</v>
      </c>
      <c r="C10" s="5"/>
      <c r="D10" s="5"/>
      <c r="E10" s="5">
        <v>0</v>
      </c>
      <c r="F10" s="5">
        <v>0</v>
      </c>
      <c r="G10" s="5">
        <v>0</v>
      </c>
      <c r="H10" s="5">
        <v>0</v>
      </c>
      <c r="I10" s="5">
        <v>1271600</v>
      </c>
      <c r="J10" s="5">
        <v>2543200</v>
      </c>
    </row>
    <row r="11" spans="1:14" ht="12.95" hidden="1" customHeight="1">
      <c r="A11" s="4" t="s">
        <v>48</v>
      </c>
      <c r="C11" s="5"/>
      <c r="D11" s="5"/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</row>
    <row r="12" spans="1:14" ht="12.95" customHeight="1">
      <c r="A12" s="4" t="s">
        <v>49</v>
      </c>
      <c r="C12" s="5">
        <v>163885</v>
      </c>
      <c r="D12" s="5">
        <v>91412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4" ht="12.95" hidden="1" customHeight="1">
      <c r="A13" s="4" t="s">
        <v>50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4" ht="12.95" hidden="1" customHeight="1">
      <c r="A14" s="4" t="s">
        <v>51</v>
      </c>
      <c r="C14" s="5"/>
      <c r="D14" s="5"/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4" ht="12.95" hidden="1" customHeight="1">
      <c r="A15" s="4" t="s">
        <v>52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6528000</v>
      </c>
      <c r="N15" s="5"/>
    </row>
    <row r="16" spans="1:14" ht="12.95" customHeight="1">
      <c r="A16" s="4" t="s">
        <v>53</v>
      </c>
      <c r="C16" s="5">
        <v>27305916</v>
      </c>
      <c r="D16" s="5">
        <f>26256455+583</f>
        <v>26257038</v>
      </c>
      <c r="E16" s="5">
        <v>43228235</v>
      </c>
      <c r="F16" s="5">
        <v>72717892</v>
      </c>
      <c r="G16" s="5">
        <v>91284840</v>
      </c>
      <c r="H16" s="5">
        <v>115699205</v>
      </c>
      <c r="I16" s="5">
        <v>158943303</v>
      </c>
      <c r="J16" s="5">
        <v>236423435</v>
      </c>
    </row>
    <row r="17" spans="1:15" s="12" customFormat="1" ht="12.95" customHeight="1">
      <c r="A17" s="14"/>
      <c r="B17" s="16" t="s">
        <v>54</v>
      </c>
      <c r="C17" s="15">
        <f>SUM(C10:C16)</f>
        <v>27469801</v>
      </c>
      <c r="D17" s="15">
        <f>SUM(D10:D16)</f>
        <v>26348450</v>
      </c>
      <c r="E17" s="13">
        <f t="shared" ref="E17:J17" si="1">SUM(E10:E16)</f>
        <v>43228235</v>
      </c>
      <c r="F17" s="13">
        <f t="shared" si="1"/>
        <v>72717892</v>
      </c>
      <c r="G17" s="13">
        <f t="shared" si="1"/>
        <v>91284840</v>
      </c>
      <c r="H17" s="13">
        <f t="shared" si="1"/>
        <v>115699205</v>
      </c>
      <c r="I17" s="13">
        <f t="shared" si="1"/>
        <v>160214903</v>
      </c>
      <c r="J17" s="13">
        <f t="shared" si="1"/>
        <v>245494635</v>
      </c>
      <c r="L17" s="4"/>
      <c r="M17" s="4"/>
    </row>
    <row r="18" spans="1:15" ht="12.95" customHeight="1">
      <c r="A18" s="12" t="s">
        <v>55</v>
      </c>
      <c r="C18" s="5"/>
      <c r="D18" s="5"/>
      <c r="E18" s="5"/>
      <c r="F18" s="5"/>
      <c r="G18" s="5"/>
    </row>
    <row r="19" spans="1:15" ht="12.95" customHeight="1">
      <c r="A19" s="4" t="s">
        <v>56</v>
      </c>
      <c r="C19" s="5">
        <v>25350342</v>
      </c>
      <c r="D19" s="5">
        <v>25214959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</row>
    <row r="20" spans="1:15" ht="12.95" customHeight="1">
      <c r="A20" s="4" t="s">
        <v>57</v>
      </c>
      <c r="C20" s="5">
        <v>3196471</v>
      </c>
      <c r="D20" s="5">
        <v>3254449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N20" s="5"/>
    </row>
    <row r="21" spans="1:15" ht="12.95" customHeight="1">
      <c r="A21" s="4" t="s">
        <v>58</v>
      </c>
      <c r="C21" s="5">
        <v>415328</v>
      </c>
      <c r="D21" s="5">
        <v>449495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5" ht="12.95" customHeight="1">
      <c r="A22" s="4" t="s">
        <v>59</v>
      </c>
      <c r="C22" s="5">
        <v>260200</v>
      </c>
      <c r="D22" s="5">
        <v>344467</v>
      </c>
      <c r="E22" s="5">
        <v>337484441</v>
      </c>
      <c r="F22" s="5">
        <v>593978297</v>
      </c>
      <c r="G22" s="5">
        <f>15610400+313504567+13222000+48578025+17022908</f>
        <v>407937900</v>
      </c>
      <c r="H22" s="5">
        <v>579396456</v>
      </c>
      <c r="I22" s="5">
        <v>238278020</v>
      </c>
      <c r="J22" s="5">
        <v>370432273</v>
      </c>
    </row>
    <row r="23" spans="1:15" ht="12.95" hidden="1" customHeight="1">
      <c r="A23" s="4" t="s">
        <v>60</v>
      </c>
      <c r="C23" s="5">
        <v>0</v>
      </c>
      <c r="D23" s="5">
        <v>0</v>
      </c>
      <c r="E23" s="5">
        <v>164494274</v>
      </c>
      <c r="F23" s="5">
        <v>1016554911</v>
      </c>
      <c r="G23" s="5">
        <v>618506722</v>
      </c>
      <c r="H23" s="5">
        <v>66540162</v>
      </c>
      <c r="I23" s="5">
        <v>17495000</v>
      </c>
      <c r="J23" s="5">
        <v>16409340</v>
      </c>
    </row>
    <row r="24" spans="1:15" s="12" customFormat="1" ht="12.95" customHeight="1">
      <c r="A24" s="14"/>
      <c r="B24" s="16" t="s">
        <v>61</v>
      </c>
      <c r="C24" s="15">
        <f>SUM(C19:C23)</f>
        <v>29222341</v>
      </c>
      <c r="D24" s="17">
        <f>SUM(D19:D23)</f>
        <v>29263370</v>
      </c>
      <c r="E24" s="13">
        <f>SUM(E19:E23)</f>
        <v>501978715</v>
      </c>
      <c r="F24" s="13">
        <f>SUM(F22:F23)</f>
        <v>1610533208</v>
      </c>
      <c r="G24" s="13">
        <f>SUM(G22:G23)</f>
        <v>1026444622</v>
      </c>
      <c r="H24" s="13">
        <f>SUM(H22:H23)</f>
        <v>645936618</v>
      </c>
      <c r="I24" s="13">
        <f>SUM(I22:I23)</f>
        <v>255773020</v>
      </c>
      <c r="J24" s="13">
        <f>SUM(J22:J23)</f>
        <v>386841613</v>
      </c>
      <c r="L24" s="13"/>
      <c r="M24" s="4"/>
      <c r="O24" s="13"/>
    </row>
    <row r="25" spans="1:15" ht="12.95" customHeight="1">
      <c r="A25" s="12" t="s">
        <v>62</v>
      </c>
      <c r="B25" s="12"/>
      <c r="C25" s="5"/>
      <c r="D25" s="5"/>
      <c r="E25" s="5"/>
      <c r="F25" s="5"/>
      <c r="G25" s="5"/>
    </row>
    <row r="26" spans="1:15" ht="12.95" customHeight="1">
      <c r="A26" s="4" t="s">
        <v>63</v>
      </c>
      <c r="C26" s="5"/>
      <c r="D26" s="5"/>
      <c r="E26" s="5">
        <v>34000000</v>
      </c>
      <c r="F26" s="5">
        <v>40000000</v>
      </c>
      <c r="G26" s="5">
        <v>40000000</v>
      </c>
      <c r="H26" s="5">
        <v>50000000</v>
      </c>
      <c r="I26" s="5">
        <v>0</v>
      </c>
      <c r="J26" s="5">
        <v>0</v>
      </c>
    </row>
    <row r="27" spans="1:15" ht="12.95" hidden="1" customHeight="1">
      <c r="A27" s="4" t="s">
        <v>64</v>
      </c>
      <c r="C27" s="5"/>
      <c r="D27" s="5"/>
      <c r="E27" s="5"/>
      <c r="F27" s="5"/>
      <c r="G27" s="5"/>
    </row>
    <row r="28" spans="1:15" ht="12.95" customHeight="1">
      <c r="A28" s="4" t="s">
        <v>65</v>
      </c>
      <c r="C28" s="5">
        <v>0</v>
      </c>
      <c r="D28" s="5">
        <v>112060</v>
      </c>
      <c r="E28" s="5"/>
      <c r="F28" s="5"/>
      <c r="G28" s="5"/>
    </row>
    <row r="29" spans="1:15" ht="12.95" customHeight="1">
      <c r="A29" s="4" t="s">
        <v>66</v>
      </c>
      <c r="C29" s="5">
        <v>1000</v>
      </c>
      <c r="D29" s="5">
        <v>1000</v>
      </c>
      <c r="E29" s="5"/>
      <c r="F29" s="5"/>
      <c r="G29" s="5"/>
    </row>
    <row r="30" spans="1:15" ht="12.95" hidden="1" customHeight="1">
      <c r="A30" s="4" t="s">
        <v>67</v>
      </c>
      <c r="C30" s="5"/>
      <c r="D30" s="5"/>
      <c r="E30" s="5"/>
      <c r="F30" s="5"/>
      <c r="G30" s="5"/>
    </row>
    <row r="31" spans="1:15" ht="12.95" hidden="1" customHeight="1">
      <c r="A31" s="4" t="s">
        <v>68</v>
      </c>
      <c r="C31" s="5"/>
      <c r="D31" s="5"/>
      <c r="E31" s="5"/>
      <c r="F31" s="5"/>
      <c r="G31" s="5"/>
    </row>
    <row r="32" spans="1:15" ht="12.95" customHeight="1">
      <c r="A32" s="18"/>
      <c r="B32" s="16" t="s">
        <v>69</v>
      </c>
      <c r="C32" s="15">
        <f>SUM(C27:C31)</f>
        <v>1000</v>
      </c>
      <c r="D32" s="15">
        <f>SUM(D27:D31)</f>
        <v>113060</v>
      </c>
      <c r="E32" s="5"/>
      <c r="F32" s="5"/>
      <c r="G32" s="5"/>
    </row>
    <row r="33" spans="1:13" ht="12.95" customHeight="1">
      <c r="A33" s="4" t="s">
        <v>70</v>
      </c>
      <c r="C33" s="5"/>
      <c r="D33" s="5"/>
      <c r="E33" s="5">
        <v>4137842</v>
      </c>
      <c r="F33" s="5">
        <v>7842023</v>
      </c>
      <c r="G33" s="5">
        <v>7872769</v>
      </c>
      <c r="H33" s="5">
        <v>11710137</v>
      </c>
      <c r="I33" s="5">
        <v>11169470</v>
      </c>
      <c r="J33" s="5">
        <v>3873783</v>
      </c>
    </row>
    <row r="34" spans="1:13" ht="12.95" hidden="1" customHeight="1">
      <c r="A34" s="4" t="s">
        <v>71</v>
      </c>
      <c r="C34" s="5"/>
      <c r="D34" s="5"/>
      <c r="E34" s="5"/>
      <c r="F34" s="5"/>
      <c r="G34" s="5"/>
    </row>
    <row r="35" spans="1:13" ht="12.95" hidden="1" customHeight="1">
      <c r="A35" s="4" t="s">
        <v>72</v>
      </c>
      <c r="C35" s="5"/>
      <c r="D35" s="5"/>
      <c r="E35" s="5"/>
      <c r="F35" s="5"/>
      <c r="G35" s="5"/>
    </row>
    <row r="36" spans="1:13" ht="12.95" hidden="1" customHeight="1">
      <c r="A36" s="4" t="s">
        <v>73</v>
      </c>
      <c r="C36" s="5"/>
      <c r="D36" s="5"/>
      <c r="E36" s="5"/>
      <c r="F36" s="5"/>
      <c r="G36" s="5"/>
    </row>
    <row r="37" spans="1:13" ht="12.95" hidden="1" customHeight="1">
      <c r="A37" s="4" t="s">
        <v>74</v>
      </c>
      <c r="C37" s="5"/>
      <c r="D37" s="5"/>
      <c r="E37" s="5"/>
      <c r="F37" s="5"/>
      <c r="G37" s="5"/>
    </row>
    <row r="38" spans="1:13" ht="12.95" customHeight="1">
      <c r="A38" s="4" t="s">
        <v>75</v>
      </c>
      <c r="C38" s="5">
        <v>5017</v>
      </c>
      <c r="D38" s="5">
        <v>425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</row>
    <row r="39" spans="1:13" s="12" customFormat="1" ht="12.95" customHeight="1">
      <c r="A39" s="14"/>
      <c r="B39" s="16" t="s">
        <v>76</v>
      </c>
      <c r="C39" s="15">
        <f>SUM(C34:C38)</f>
        <v>5017</v>
      </c>
      <c r="D39" s="15">
        <f>SUM(D34:D38)</f>
        <v>425</v>
      </c>
      <c r="E39" s="13">
        <f>SUM(E26:E38)</f>
        <v>38137842</v>
      </c>
      <c r="F39" s="13">
        <f>SUM(F26:F38)</f>
        <v>47842023</v>
      </c>
      <c r="G39" s="13">
        <f>SUM(G26:G38)</f>
        <v>47872769</v>
      </c>
      <c r="H39" s="13">
        <f>SUM(H26:H38)</f>
        <v>61710137</v>
      </c>
      <c r="I39" s="13">
        <f>SUM(I26:I38)</f>
        <v>11169470</v>
      </c>
      <c r="J39" s="13"/>
      <c r="M39" s="13"/>
    </row>
    <row r="40" spans="1:13" s="12" customFormat="1" ht="12.95" hidden="1" customHeight="1">
      <c r="A40" s="4" t="s">
        <v>77</v>
      </c>
      <c r="B40" s="19"/>
      <c r="C40" s="13"/>
      <c r="D40" s="13"/>
      <c r="E40" s="13"/>
      <c r="F40" s="13"/>
      <c r="G40" s="13"/>
      <c r="H40" s="13"/>
      <c r="I40" s="13"/>
      <c r="J40" s="13"/>
    </row>
    <row r="41" spans="1:13" s="12" customFormat="1" ht="12.95" hidden="1" customHeight="1">
      <c r="A41" s="20" t="s">
        <v>78</v>
      </c>
      <c r="B41" s="21"/>
      <c r="C41" s="22"/>
      <c r="D41" s="22"/>
      <c r="E41" s="13"/>
      <c r="F41" s="13"/>
      <c r="G41" s="13"/>
      <c r="H41" s="13"/>
      <c r="I41" s="13"/>
      <c r="J41" s="13"/>
    </row>
    <row r="42" spans="1:13" s="12" customFormat="1" ht="12.95" customHeight="1">
      <c r="B42" s="16" t="s">
        <v>79</v>
      </c>
      <c r="C42" s="22">
        <f>C32+C39+C40+C41</f>
        <v>6017</v>
      </c>
      <c r="D42" s="22">
        <f>D32+D39+D40+D41</f>
        <v>113485</v>
      </c>
      <c r="E42" s="13"/>
      <c r="F42" s="13"/>
      <c r="G42" s="13"/>
      <c r="H42" s="13"/>
      <c r="I42" s="13"/>
      <c r="J42" s="13"/>
    </row>
    <row r="43" spans="1:13" ht="12.95" customHeight="1">
      <c r="A43" s="14"/>
      <c r="B43" s="16" t="s">
        <v>80</v>
      </c>
      <c r="C43" s="15">
        <f>C24+C17+C42</f>
        <v>56698159</v>
      </c>
      <c r="D43" s="15">
        <f>D24+D17+D42</f>
        <v>55725305</v>
      </c>
      <c r="E43" s="15">
        <f>E24+E17+E39</f>
        <v>583344792</v>
      </c>
      <c r="F43" s="15">
        <f>F24+F17+F39</f>
        <v>1731093123</v>
      </c>
      <c r="G43" s="15">
        <f>G24+G17+G39</f>
        <v>1165602231</v>
      </c>
      <c r="H43" s="15">
        <f>H24+H17+H39</f>
        <v>823345960</v>
      </c>
      <c r="I43" s="15">
        <f>I24+I17+I33</f>
        <v>427157393</v>
      </c>
      <c r="J43" s="15">
        <f>J24+J17+J33</f>
        <v>636210031</v>
      </c>
    </row>
    <row r="44" spans="1:13" ht="12.95" customHeight="1">
      <c r="C44" s="5"/>
      <c r="D44" s="5"/>
      <c r="E44" s="5"/>
      <c r="F44" s="5"/>
      <c r="G44" s="5"/>
    </row>
    <row r="45" spans="1:13" ht="12.95" customHeight="1">
      <c r="A45" s="12" t="s">
        <v>81</v>
      </c>
      <c r="B45" s="12"/>
      <c r="C45" s="5"/>
      <c r="D45" s="5"/>
      <c r="E45" s="5"/>
      <c r="F45" s="5"/>
      <c r="G45" s="5"/>
    </row>
    <row r="46" spans="1:13" ht="12.95" customHeight="1">
      <c r="A46" s="12" t="s">
        <v>82</v>
      </c>
      <c r="C46" s="5"/>
      <c r="D46" s="5"/>
      <c r="E46" s="5"/>
      <c r="F46" s="5"/>
      <c r="G46" s="5"/>
    </row>
    <row r="47" spans="1:13" ht="12.95" customHeight="1">
      <c r="A47" s="4" t="s">
        <v>83</v>
      </c>
      <c r="C47" s="5">
        <v>40514</v>
      </c>
      <c r="D47" s="5">
        <v>40959</v>
      </c>
      <c r="E47" s="5">
        <v>277504086</v>
      </c>
      <c r="F47" s="5">
        <v>312236251</v>
      </c>
      <c r="G47" s="5">
        <v>298867713</v>
      </c>
      <c r="H47" s="5">
        <v>188649756</v>
      </c>
      <c r="I47" s="5">
        <v>140627268</v>
      </c>
      <c r="J47" s="5">
        <v>142287431</v>
      </c>
      <c r="L47" s="5"/>
    </row>
    <row r="48" spans="1:13" ht="12.95" hidden="1" customHeight="1">
      <c r="A48" s="4" t="s">
        <v>84</v>
      </c>
      <c r="C48" s="5"/>
      <c r="D48" s="5"/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</row>
    <row r="49" spans="1:15" ht="12.95" hidden="1" customHeight="1">
      <c r="A49" s="4" t="s">
        <v>85</v>
      </c>
      <c r="C49" s="5"/>
      <c r="D49" s="5"/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49800850</v>
      </c>
    </row>
    <row r="50" spans="1:15" ht="12.95" hidden="1" customHeight="1">
      <c r="A50" s="4" t="s">
        <v>86</v>
      </c>
      <c r="C50" s="5"/>
      <c r="D50" s="5"/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</row>
    <row r="51" spans="1:15" ht="12.95" hidden="1" customHeight="1">
      <c r="A51" s="4" t="s">
        <v>87</v>
      </c>
      <c r="C51" s="5"/>
      <c r="D51" s="5"/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</row>
    <row r="52" spans="1:15" ht="12.95" customHeight="1">
      <c r="A52" s="3"/>
      <c r="B52" s="16" t="s">
        <v>88</v>
      </c>
      <c r="C52" s="15">
        <f>SUM(C47:C51)</f>
        <v>40514</v>
      </c>
      <c r="D52" s="15">
        <f>SUM(D47:D51)</f>
        <v>40959</v>
      </c>
      <c r="E52" s="13">
        <f t="shared" ref="E52:J52" si="2">SUM(E47:E49)</f>
        <v>277504086</v>
      </c>
      <c r="F52" s="13">
        <f t="shared" si="2"/>
        <v>312236251</v>
      </c>
      <c r="G52" s="13">
        <f t="shared" si="2"/>
        <v>298867713</v>
      </c>
      <c r="H52" s="13">
        <f t="shared" si="2"/>
        <v>188649756</v>
      </c>
      <c r="I52" s="13">
        <f t="shared" si="2"/>
        <v>140627268</v>
      </c>
      <c r="J52" s="13">
        <f t="shared" si="2"/>
        <v>192088281</v>
      </c>
    </row>
    <row r="53" spans="1:15" ht="12.95" customHeight="1">
      <c r="A53" s="12" t="s">
        <v>89</v>
      </c>
      <c r="C53" s="5"/>
      <c r="D53" s="5"/>
      <c r="E53" s="5"/>
      <c r="F53" s="5"/>
      <c r="G53" s="5"/>
    </row>
    <row r="54" spans="1:15" ht="12.95" customHeight="1">
      <c r="A54" s="4" t="s">
        <v>90</v>
      </c>
      <c r="C54" s="5"/>
      <c r="D54" s="5"/>
      <c r="E54" s="5"/>
      <c r="F54" s="5"/>
      <c r="G54" s="5"/>
    </row>
    <row r="55" spans="1:15" ht="12.95" customHeight="1">
      <c r="A55" s="4" t="s">
        <v>91</v>
      </c>
      <c r="C55" s="5">
        <f>6438712-1542234</f>
        <v>4896478</v>
      </c>
      <c r="D55" s="5">
        <v>3158751</v>
      </c>
      <c r="E55" s="5">
        <v>9117406428</v>
      </c>
      <c r="F55" s="5">
        <v>9326133543</v>
      </c>
      <c r="G55" s="5">
        <f>10449793847-339229700-439065600</f>
        <v>9671498547</v>
      </c>
      <c r="H55" s="5">
        <v>6412476646</v>
      </c>
      <c r="I55" s="5">
        <v>6904494930</v>
      </c>
      <c r="J55" s="5">
        <v>6579606031</v>
      </c>
      <c r="M55" s="5"/>
      <c r="O55" s="5"/>
    </row>
    <row r="56" spans="1:15" ht="12.6" hidden="1" customHeight="1">
      <c r="A56" s="4" t="s">
        <v>92</v>
      </c>
      <c r="C56" s="5"/>
      <c r="D56" s="5"/>
      <c r="E56" s="5"/>
      <c r="F56" s="5"/>
      <c r="G56" s="5"/>
    </row>
    <row r="57" spans="1:15" ht="12.6" customHeight="1">
      <c r="A57" s="23"/>
      <c r="B57" s="23"/>
      <c r="C57" s="24">
        <f>SUM(C55:C56)</f>
        <v>4896478</v>
      </c>
      <c r="D57" s="25">
        <f>SUM(D55:D56)</f>
        <v>3158751</v>
      </c>
      <c r="E57" s="5"/>
      <c r="F57" s="5"/>
      <c r="G57" s="5"/>
    </row>
    <row r="58" spans="1:15" ht="12.95" hidden="1" customHeight="1">
      <c r="A58" s="4" t="s">
        <v>93</v>
      </c>
      <c r="C58" s="5"/>
      <c r="D58" s="5"/>
      <c r="E58" s="5"/>
      <c r="F58" s="5"/>
      <c r="G58" s="5">
        <v>0</v>
      </c>
      <c r="H58" s="5">
        <v>0</v>
      </c>
      <c r="I58" s="5">
        <v>0</v>
      </c>
      <c r="J58" s="5">
        <v>0</v>
      </c>
    </row>
    <row r="59" spans="1:15" ht="12.75" hidden="1" customHeight="1">
      <c r="A59" s="4" t="s">
        <v>94</v>
      </c>
      <c r="C59" s="5"/>
      <c r="D59" s="5"/>
      <c r="E59" s="5"/>
      <c r="F59" s="5"/>
      <c r="G59" s="5"/>
    </row>
    <row r="60" spans="1:15" ht="12.95" hidden="1" customHeight="1">
      <c r="A60" s="4" t="s">
        <v>95</v>
      </c>
      <c r="C60" s="5"/>
      <c r="D60" s="5"/>
      <c r="E60" s="5"/>
      <c r="F60" s="5"/>
      <c r="G60" s="5"/>
    </row>
    <row r="61" spans="1:15" ht="12.95" hidden="1" customHeight="1">
      <c r="A61" s="4" t="s">
        <v>96</v>
      </c>
      <c r="C61" s="5"/>
      <c r="D61" s="5"/>
      <c r="E61" s="5"/>
      <c r="F61" s="5"/>
      <c r="G61" s="5"/>
    </row>
    <row r="62" spans="1:15" ht="12.95" customHeight="1">
      <c r="A62" s="4" t="s">
        <v>97</v>
      </c>
      <c r="C62" s="5">
        <f>21640.14+32849.8+11058.57</f>
        <v>65548.510000000009</v>
      </c>
      <c r="D62" s="5">
        <f>2425+32850+11058+182790</f>
        <v>229123</v>
      </c>
      <c r="E62" s="5"/>
      <c r="F62" s="5"/>
      <c r="G62" s="5"/>
      <c r="L62" s="5"/>
    </row>
    <row r="63" spans="1:15" ht="12.95" customHeight="1">
      <c r="A63" s="4" t="s">
        <v>98</v>
      </c>
      <c r="C63" s="5">
        <v>0</v>
      </c>
      <c r="D63" s="5">
        <v>0</v>
      </c>
      <c r="E63" s="5"/>
      <c r="F63" s="5"/>
      <c r="G63" s="5"/>
      <c r="L63" s="5"/>
    </row>
    <row r="64" spans="1:15" ht="12.95" customHeight="1">
      <c r="A64" s="4" t="s">
        <v>99</v>
      </c>
      <c r="C64" s="5"/>
      <c r="D64" s="5"/>
      <c r="E64" s="5"/>
      <c r="F64" s="5"/>
      <c r="G64" s="5"/>
      <c r="O64" s="26"/>
    </row>
    <row r="65" spans="1:13" ht="12.95" customHeight="1">
      <c r="A65" s="4" t="s">
        <v>91</v>
      </c>
      <c r="C65" s="5">
        <f>19715.32+82302.14+3582.24</f>
        <v>105599.7</v>
      </c>
      <c r="D65" s="5">
        <f>13913+24899+1395</f>
        <v>40207</v>
      </c>
      <c r="E65" s="5">
        <v>348846266</v>
      </c>
      <c r="F65" s="5">
        <f>228149590+63501000+195419723</f>
        <v>487070313</v>
      </c>
      <c r="G65" s="5">
        <f>648684677+63501000</f>
        <v>712185677</v>
      </c>
      <c r="H65" s="5">
        <f>1152434619-104241700-165451000+26229000</f>
        <v>908970919</v>
      </c>
      <c r="I65" s="5">
        <v>582504424</v>
      </c>
      <c r="J65" s="5">
        <v>326359847</v>
      </c>
      <c r="K65" s="5"/>
      <c r="L65" s="27"/>
      <c r="M65" s="5"/>
    </row>
    <row r="66" spans="1:13" ht="12.95" customHeight="1">
      <c r="A66" s="4" t="s">
        <v>92</v>
      </c>
      <c r="C66" s="5">
        <v>0</v>
      </c>
      <c r="D66" s="5">
        <v>0</v>
      </c>
      <c r="E66" s="5"/>
      <c r="F66" s="5"/>
      <c r="G66" s="5"/>
      <c r="K66" s="5"/>
      <c r="L66" s="5"/>
      <c r="M66" s="5"/>
    </row>
    <row r="67" spans="1:13" ht="12.95" customHeight="1">
      <c r="A67" s="28" t="s">
        <v>100</v>
      </c>
      <c r="B67" s="28"/>
      <c r="C67" s="5"/>
      <c r="D67" s="5"/>
      <c r="E67" s="5"/>
      <c r="F67" s="5"/>
      <c r="G67" s="5"/>
    </row>
    <row r="68" spans="1:13" ht="12.75">
      <c r="A68" s="28" t="s">
        <v>91</v>
      </c>
      <c r="B68" s="28"/>
      <c r="C68" s="5">
        <v>101347</v>
      </c>
      <c r="D68" s="5">
        <v>101347</v>
      </c>
      <c r="E68" s="5"/>
      <c r="F68" s="5"/>
      <c r="G68" s="5"/>
      <c r="M68" s="5"/>
    </row>
    <row r="69" spans="1:13" ht="12.75">
      <c r="A69" s="4" t="s">
        <v>92</v>
      </c>
      <c r="B69" s="28"/>
      <c r="C69" s="5">
        <f>376107-C68</f>
        <v>274760</v>
      </c>
      <c r="D69" s="29">
        <f>478063-D68</f>
        <v>376716</v>
      </c>
      <c r="E69" s="5"/>
      <c r="F69" s="5"/>
      <c r="G69" s="5"/>
      <c r="L69" s="5"/>
    </row>
    <row r="70" spans="1:13" ht="12.95" customHeight="1">
      <c r="A70" s="3"/>
      <c r="B70" s="16" t="s">
        <v>101</v>
      </c>
      <c r="C70" s="15">
        <f>SUM(C57:C69)</f>
        <v>5443733.21</v>
      </c>
      <c r="D70" s="15">
        <f>SUM(D57:D69)</f>
        <v>3906144</v>
      </c>
      <c r="E70" s="13">
        <f>SUM(E55:E66)</f>
        <v>9466252694</v>
      </c>
      <c r="F70" s="13">
        <f>SUM(F55:F65)</f>
        <v>9813203856</v>
      </c>
      <c r="G70" s="13">
        <f>SUM(G55:G65)</f>
        <v>10383684224</v>
      </c>
      <c r="H70" s="13">
        <f>SUM(H55:H65)</f>
        <v>7321447565</v>
      </c>
      <c r="I70" s="13">
        <f>SUM(I55:I65)</f>
        <v>7486999354</v>
      </c>
      <c r="J70" s="13">
        <f>SUM(J55:J65)</f>
        <v>6905965878</v>
      </c>
      <c r="L70" s="5">
        <f>SUM(C62:C69)</f>
        <v>547255.21</v>
      </c>
      <c r="M70" s="5"/>
    </row>
    <row r="71" spans="1:13" ht="12.95" customHeight="1">
      <c r="A71" s="12" t="s">
        <v>102</v>
      </c>
      <c r="C71" s="30"/>
      <c r="D71" s="30"/>
      <c r="E71" s="30"/>
      <c r="F71" s="30"/>
      <c r="G71" s="30"/>
      <c r="H71" s="30"/>
      <c r="I71" s="30"/>
      <c r="J71" s="30"/>
      <c r="M71" s="5"/>
    </row>
    <row r="72" spans="1:13" ht="12.95" hidden="1" customHeight="1">
      <c r="A72" s="4" t="s">
        <v>103</v>
      </c>
      <c r="C72" s="30"/>
      <c r="D72" s="30"/>
      <c r="E72" s="30"/>
      <c r="F72" s="30"/>
      <c r="G72" s="30"/>
      <c r="H72" s="30"/>
      <c r="I72" s="30"/>
      <c r="J72" s="30"/>
      <c r="M72" s="5"/>
    </row>
    <row r="73" spans="1:13" ht="12.95" hidden="1" customHeight="1">
      <c r="A73" s="4" t="s">
        <v>104</v>
      </c>
      <c r="C73" s="30"/>
      <c r="D73" s="30"/>
      <c r="E73" s="30"/>
      <c r="F73" s="30"/>
      <c r="G73" s="30"/>
      <c r="H73" s="30"/>
      <c r="I73" s="30"/>
      <c r="J73" s="30"/>
      <c r="M73" s="5"/>
    </row>
    <row r="74" spans="1:13" ht="12.95" hidden="1" customHeight="1">
      <c r="A74" s="4" t="s">
        <v>105</v>
      </c>
      <c r="C74" s="30"/>
      <c r="D74" s="30"/>
      <c r="E74" s="30"/>
      <c r="F74" s="30"/>
      <c r="G74" s="30"/>
      <c r="H74" s="30"/>
      <c r="I74" s="30"/>
      <c r="J74" s="30"/>
      <c r="M74" s="5"/>
    </row>
    <row r="75" spans="1:13" ht="12.95" hidden="1" customHeight="1">
      <c r="A75" s="4" t="s">
        <v>106</v>
      </c>
      <c r="C75" s="30"/>
      <c r="D75" s="30"/>
      <c r="E75" s="30"/>
      <c r="F75" s="30"/>
      <c r="G75" s="30"/>
      <c r="H75" s="30"/>
      <c r="I75" s="30"/>
      <c r="J75" s="30"/>
      <c r="M75" s="5"/>
    </row>
    <row r="76" spans="1:13" ht="12.95" hidden="1" customHeight="1">
      <c r="A76" s="4" t="s">
        <v>107</v>
      </c>
      <c r="C76" s="30"/>
      <c r="D76" s="30"/>
      <c r="E76" s="30"/>
      <c r="F76" s="30"/>
      <c r="G76" s="30"/>
      <c r="H76" s="30"/>
      <c r="I76" s="30"/>
      <c r="J76" s="30"/>
      <c r="M76" s="5"/>
    </row>
    <row r="77" spans="1:13" ht="12.95" hidden="1" customHeight="1">
      <c r="A77" s="4" t="s">
        <v>108</v>
      </c>
      <c r="C77" s="30"/>
      <c r="D77" s="30"/>
      <c r="E77" s="30"/>
      <c r="F77" s="30"/>
      <c r="G77" s="30"/>
      <c r="H77" s="30"/>
      <c r="I77" s="30"/>
      <c r="J77" s="30"/>
      <c r="M77" s="5"/>
    </row>
    <row r="78" spans="1:13" ht="12.95" hidden="1" customHeight="1">
      <c r="A78" s="4" t="s">
        <v>109</v>
      </c>
      <c r="C78" s="30"/>
      <c r="D78" s="30"/>
      <c r="E78" s="30"/>
      <c r="F78" s="30"/>
      <c r="G78" s="30"/>
      <c r="H78" s="30"/>
      <c r="I78" s="30"/>
      <c r="J78" s="30"/>
      <c r="M78" s="5"/>
    </row>
    <row r="79" spans="1:13" ht="12.95" hidden="1" customHeight="1">
      <c r="A79" s="4" t="s">
        <v>53</v>
      </c>
      <c r="C79" s="30"/>
      <c r="D79" s="30"/>
      <c r="E79" s="30"/>
      <c r="F79" s="30"/>
      <c r="G79" s="30"/>
      <c r="H79" s="30"/>
      <c r="I79" s="30"/>
      <c r="J79" s="30"/>
      <c r="M79" s="5"/>
    </row>
    <row r="80" spans="1:13" ht="12.95" customHeight="1">
      <c r="A80" s="3"/>
      <c r="B80" s="16" t="s">
        <v>110</v>
      </c>
      <c r="C80" s="15">
        <f>SUM(C72:C79)</f>
        <v>0</v>
      </c>
      <c r="D80" s="15">
        <f>SUM(D72:D79)</f>
        <v>0</v>
      </c>
      <c r="E80" s="30"/>
      <c r="F80" s="30"/>
      <c r="G80" s="30"/>
      <c r="H80" s="30"/>
      <c r="I80" s="30"/>
      <c r="J80" s="30"/>
      <c r="L80" s="5"/>
      <c r="M80" s="5"/>
    </row>
    <row r="81" spans="1:14" ht="12.95" customHeight="1">
      <c r="A81" s="12" t="s">
        <v>111</v>
      </c>
      <c r="C81" s="5"/>
      <c r="D81" s="5"/>
      <c r="E81" s="30"/>
      <c r="F81" s="30"/>
      <c r="G81" s="30"/>
      <c r="H81" s="30"/>
      <c r="I81" s="30"/>
      <c r="J81" s="30"/>
    </row>
    <row r="82" spans="1:14" ht="12.95" customHeight="1">
      <c r="A82" s="4" t="s">
        <v>112</v>
      </c>
      <c r="C82" s="5">
        <v>6427249</v>
      </c>
      <c r="D82" s="5">
        <v>5762088</v>
      </c>
      <c r="E82" s="30"/>
      <c r="F82" s="30"/>
      <c r="G82" s="30"/>
      <c r="H82" s="30"/>
      <c r="I82" s="30"/>
      <c r="J82" s="30"/>
      <c r="M82" s="5"/>
    </row>
    <row r="83" spans="1:14" ht="12.95" hidden="1" customHeight="1">
      <c r="A83" s="4" t="s">
        <v>113</v>
      </c>
      <c r="C83" s="5"/>
      <c r="D83" s="5"/>
      <c r="E83" s="31"/>
      <c r="F83" s="5"/>
      <c r="G83" s="5"/>
      <c r="H83" s="32"/>
      <c r="I83" s="30"/>
      <c r="J83" s="30"/>
    </row>
    <row r="84" spans="1:14" ht="12.95" customHeight="1">
      <c r="A84" s="4" t="s">
        <v>114</v>
      </c>
      <c r="C84" s="5">
        <v>1974</v>
      </c>
      <c r="D84" s="5">
        <v>685</v>
      </c>
      <c r="E84" s="30"/>
      <c r="F84" s="30"/>
      <c r="G84" s="30"/>
      <c r="H84" s="30"/>
      <c r="I84" s="30"/>
      <c r="J84" s="30"/>
      <c r="M84" s="5"/>
    </row>
    <row r="85" spans="1:14" ht="12.95" customHeight="1">
      <c r="A85" s="3"/>
      <c r="B85" s="16" t="s">
        <v>115</v>
      </c>
      <c r="C85" s="15">
        <f>SUM(C82:C84)</f>
        <v>6429223</v>
      </c>
      <c r="D85" s="15">
        <f>SUM(D82:D84)</f>
        <v>5762773</v>
      </c>
      <c r="E85" s="5"/>
      <c r="F85" s="5"/>
      <c r="G85" s="5"/>
    </row>
    <row r="86" spans="1:14" ht="12.95" customHeight="1">
      <c r="A86" s="14"/>
      <c r="B86" s="16" t="s">
        <v>116</v>
      </c>
      <c r="C86" s="15">
        <f>C52+C70+C80+C85</f>
        <v>11913470.210000001</v>
      </c>
      <c r="D86" s="15">
        <f>D52+D70+D80+D85</f>
        <v>9709876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</row>
    <row r="87" spans="1:14" ht="12.95" customHeight="1">
      <c r="C87" s="13"/>
      <c r="D87" s="13"/>
      <c r="E87" s="13"/>
      <c r="F87" s="13"/>
      <c r="G87" s="13"/>
      <c r="H87" s="13"/>
      <c r="I87" s="13"/>
      <c r="J87" s="13"/>
      <c r="M87" s="5"/>
    </row>
    <row r="88" spans="1:14" ht="12.95" customHeight="1">
      <c r="A88" s="12" t="s">
        <v>117</v>
      </c>
      <c r="B88" s="12"/>
      <c r="C88" s="5"/>
      <c r="D88" s="5"/>
      <c r="E88" s="5"/>
      <c r="F88" s="5"/>
      <c r="G88" s="5"/>
    </row>
    <row r="89" spans="1:14" ht="12.95" customHeight="1">
      <c r="A89" s="4" t="s">
        <v>118</v>
      </c>
      <c r="C89" s="5">
        <f>656335-203511</f>
        <v>452824</v>
      </c>
      <c r="D89" s="5">
        <v>665848</v>
      </c>
      <c r="E89" s="5">
        <v>23875329</v>
      </c>
      <c r="F89" s="5">
        <v>72345193</v>
      </c>
      <c r="G89" s="5">
        <v>29859309</v>
      </c>
      <c r="H89" s="5">
        <v>12508408</v>
      </c>
      <c r="I89" s="5">
        <v>16418675</v>
      </c>
      <c r="J89" s="5">
        <v>2281775</v>
      </c>
      <c r="L89" s="5"/>
    </row>
    <row r="90" spans="1:14" ht="12.95" customHeight="1">
      <c r="A90" s="14"/>
      <c r="B90" s="16" t="s">
        <v>119</v>
      </c>
      <c r="C90" s="15">
        <f>C89</f>
        <v>452824</v>
      </c>
      <c r="D90" s="15">
        <f>D89</f>
        <v>665848</v>
      </c>
      <c r="E90" s="15">
        <f t="shared" ref="E90:J90" si="3">E89</f>
        <v>23875329</v>
      </c>
      <c r="F90" s="15">
        <f t="shared" si="3"/>
        <v>72345193</v>
      </c>
      <c r="G90" s="15">
        <f t="shared" si="3"/>
        <v>29859309</v>
      </c>
      <c r="H90" s="15">
        <f t="shared" si="3"/>
        <v>12508408</v>
      </c>
      <c r="I90" s="15">
        <f t="shared" si="3"/>
        <v>16418675</v>
      </c>
      <c r="J90" s="15">
        <f t="shared" si="3"/>
        <v>2281775</v>
      </c>
    </row>
    <row r="91" spans="1:14" ht="12.95" customHeight="1" thickBot="1">
      <c r="C91" s="5"/>
      <c r="D91" s="5"/>
      <c r="E91" s="5"/>
      <c r="F91" s="5"/>
      <c r="G91" s="5"/>
      <c r="N91" s="5"/>
    </row>
    <row r="92" spans="1:14" ht="12.95" customHeight="1" thickTop="1" thickBot="1">
      <c r="A92" s="33" t="s">
        <v>120</v>
      </c>
      <c r="B92" s="34"/>
      <c r="C92" s="35">
        <f>C43+C86+C90</f>
        <v>69064453.210000008</v>
      </c>
      <c r="D92" s="35">
        <f>D43+D86+D90</f>
        <v>66101029</v>
      </c>
      <c r="E92" s="35" t="e">
        <f>E6+E43+#REF!+E90</f>
        <v>#REF!</v>
      </c>
      <c r="F92" s="35" t="e">
        <f>F6+F43+#REF!+F90</f>
        <v>#REF!</v>
      </c>
      <c r="G92" s="35" t="e">
        <f>G6+G43+#REF!+G90</f>
        <v>#REF!</v>
      </c>
      <c r="H92" s="36" t="e">
        <f>H6+H43+#REF!+H90</f>
        <v>#REF!</v>
      </c>
      <c r="I92" s="37" t="e">
        <f>I6+I43+#REF!+I90</f>
        <v>#REF!</v>
      </c>
      <c r="J92" s="37" t="e">
        <f>J6+J43+#REF!+J90</f>
        <v>#REF!</v>
      </c>
      <c r="L92" s="5"/>
    </row>
    <row r="93" spans="1:14" ht="12.95" customHeight="1">
      <c r="A93" s="38"/>
      <c r="C93" s="5"/>
      <c r="D93" s="5"/>
      <c r="E93" s="5"/>
      <c r="F93" s="5"/>
      <c r="G93" s="5"/>
    </row>
    <row r="94" spans="1:14" ht="22.5" customHeight="1">
      <c r="A94" s="2" t="s">
        <v>33</v>
      </c>
      <c r="B94" s="3"/>
      <c r="C94" s="3"/>
      <c r="D94" s="3"/>
      <c r="E94" s="5"/>
      <c r="F94" s="5"/>
      <c r="G94" s="5"/>
    </row>
    <row r="95" spans="1:14" ht="12.95" customHeight="1">
      <c r="C95" s="5"/>
      <c r="D95" s="5"/>
      <c r="E95" s="5"/>
      <c r="F95" s="5"/>
      <c r="G95" s="5"/>
    </row>
    <row r="96" spans="1:14" ht="15" customHeight="1">
      <c r="A96" s="39" t="s">
        <v>121</v>
      </c>
      <c r="B96" s="7"/>
      <c r="C96" s="8" t="s">
        <v>35</v>
      </c>
      <c r="D96" s="8" t="s">
        <v>36</v>
      </c>
      <c r="E96" s="9" t="s">
        <v>37</v>
      </c>
      <c r="F96" s="9" t="s">
        <v>38</v>
      </c>
      <c r="G96" s="9" t="s">
        <v>39</v>
      </c>
      <c r="H96" s="40" t="s">
        <v>40</v>
      </c>
      <c r="I96" s="40" t="s">
        <v>41</v>
      </c>
      <c r="J96" s="10" t="s">
        <v>42</v>
      </c>
    </row>
    <row r="97" spans="1:14" ht="12.95" customHeight="1">
      <c r="C97" s="5"/>
      <c r="D97" s="5"/>
      <c r="E97" s="5"/>
      <c r="F97" s="5"/>
      <c r="G97" s="5"/>
    </row>
    <row r="98" spans="1:14" ht="12.95" customHeight="1">
      <c r="A98" s="12" t="s">
        <v>122</v>
      </c>
      <c r="B98" s="12"/>
      <c r="C98" s="5"/>
      <c r="D98" s="5"/>
      <c r="E98" s="5"/>
      <c r="F98" s="5"/>
      <c r="G98" s="5"/>
    </row>
    <row r="99" spans="1:14" ht="12.95" customHeight="1">
      <c r="A99" s="4" t="s">
        <v>123</v>
      </c>
      <c r="C99" s="5">
        <v>21778036</v>
      </c>
      <c r="D99" s="5">
        <f>21778036</f>
        <v>21778036</v>
      </c>
      <c r="E99" s="5">
        <v>2323524000</v>
      </c>
      <c r="F99" s="5">
        <v>2200000000</v>
      </c>
      <c r="G99" s="5">
        <v>2200000000</v>
      </c>
      <c r="H99" s="5">
        <v>2200000000</v>
      </c>
      <c r="I99" s="5">
        <v>2200000000</v>
      </c>
      <c r="J99" s="5">
        <v>200000000</v>
      </c>
    </row>
    <row r="100" spans="1:14" ht="12.95" customHeight="1">
      <c r="A100" s="4" t="s">
        <v>124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</row>
    <row r="101" spans="1:14" ht="12.95" customHeight="1">
      <c r="A101" s="4" t="s">
        <v>125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N101" s="5"/>
    </row>
    <row r="102" spans="1:14" ht="12.95" customHeight="1">
      <c r="A102" s="4" t="s">
        <v>126</v>
      </c>
      <c r="C102" s="5">
        <v>0</v>
      </c>
      <c r="D102" s="5">
        <v>0</v>
      </c>
      <c r="E102" s="5">
        <v>261329676</v>
      </c>
      <c r="F102" s="5">
        <v>261329676</v>
      </c>
      <c r="G102" s="5">
        <v>250739081</v>
      </c>
      <c r="H102" s="5">
        <v>228206629</v>
      </c>
      <c r="I102" s="5">
        <v>214221283</v>
      </c>
      <c r="J102" s="5">
        <v>214221283</v>
      </c>
      <c r="M102" s="5"/>
    </row>
    <row r="103" spans="1:14" ht="12.95" customHeight="1">
      <c r="A103" s="4" t="s">
        <v>127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</row>
    <row r="104" spans="1:14" ht="12.95" customHeight="1">
      <c r="A104" s="4" t="s">
        <v>128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</row>
    <row r="105" spans="1:14" ht="12.95" hidden="1" customHeight="1">
      <c r="A105" s="4" t="s">
        <v>129</v>
      </c>
      <c r="C105" s="5"/>
      <c r="D105" s="5"/>
      <c r="E105" s="5"/>
      <c r="F105" s="5"/>
      <c r="G105" s="5"/>
    </row>
    <row r="106" spans="1:14" ht="12.95" hidden="1" customHeight="1">
      <c r="A106" s="4" t="s">
        <v>130</v>
      </c>
      <c r="C106" s="5"/>
      <c r="D106" s="5"/>
      <c r="E106" s="5"/>
      <c r="F106" s="5"/>
      <c r="G106" s="5"/>
    </row>
    <row r="107" spans="1:14" ht="12.95" hidden="1" customHeight="1">
      <c r="A107" s="4" t="s">
        <v>131</v>
      </c>
      <c r="C107" s="5"/>
      <c r="D107" s="5"/>
      <c r="E107" s="5"/>
      <c r="F107" s="5"/>
      <c r="G107" s="5"/>
    </row>
    <row r="108" spans="1:14" ht="12.95" hidden="1" customHeight="1">
      <c r="A108" s="4" t="s">
        <v>132</v>
      </c>
      <c r="C108" s="5"/>
      <c r="D108" s="5"/>
      <c r="E108" s="5"/>
      <c r="F108" s="5"/>
      <c r="G108" s="5"/>
    </row>
    <row r="109" spans="1:14" ht="12.95" hidden="1" customHeight="1">
      <c r="A109" s="4" t="s">
        <v>133</v>
      </c>
      <c r="C109" s="5"/>
      <c r="D109" s="5"/>
      <c r="E109" s="5"/>
      <c r="F109" s="5"/>
      <c r="G109" s="5"/>
    </row>
    <row r="110" spans="1:14" ht="12.95" hidden="1" customHeight="1">
      <c r="A110" s="4" t="s">
        <v>134</v>
      </c>
      <c r="C110" s="5"/>
      <c r="D110" s="5"/>
      <c r="E110" s="5"/>
      <c r="F110" s="5"/>
      <c r="G110" s="5"/>
    </row>
    <row r="111" spans="1:14" ht="12.95" hidden="1" customHeight="1">
      <c r="A111" s="4" t="s">
        <v>135</v>
      </c>
      <c r="C111" s="5"/>
      <c r="D111" s="5"/>
      <c r="E111" s="5"/>
      <c r="F111" s="5"/>
      <c r="G111" s="5"/>
    </row>
    <row r="112" spans="1:14" ht="12.95" hidden="1" customHeight="1">
      <c r="A112" s="4" t="s">
        <v>136</v>
      </c>
      <c r="C112" s="5"/>
      <c r="D112" s="5"/>
      <c r="E112" s="5"/>
      <c r="F112" s="5"/>
      <c r="G112" s="5"/>
    </row>
    <row r="113" spans="1:15" ht="12.95" customHeight="1">
      <c r="A113" s="4" t="s">
        <v>137</v>
      </c>
      <c r="C113" s="5">
        <v>0</v>
      </c>
      <c r="D113" s="5">
        <v>0</v>
      </c>
      <c r="E113" s="5"/>
      <c r="F113" s="5"/>
      <c r="G113" s="5"/>
    </row>
    <row r="114" spans="1:15" ht="12.95" customHeight="1">
      <c r="A114" s="4" t="s">
        <v>138</v>
      </c>
      <c r="C114" s="41">
        <f>D114+D115</f>
        <v>-3446267</v>
      </c>
      <c r="D114" s="41">
        <v>-3806442</v>
      </c>
      <c r="E114" s="5">
        <f>167379148-123524000</f>
        <v>43855148</v>
      </c>
      <c r="F114" s="5">
        <v>167379148</v>
      </c>
      <c r="G114" s="5">
        <v>736157848</v>
      </c>
      <c r="H114" s="5">
        <v>715041270</v>
      </c>
      <c r="I114" s="5">
        <v>451041270</v>
      </c>
      <c r="J114" s="5">
        <v>1927991542</v>
      </c>
    </row>
    <row r="115" spans="1:15" ht="12.95" customHeight="1">
      <c r="A115" s="4" t="s">
        <v>139</v>
      </c>
      <c r="C115" s="41">
        <f>'Conto Economico'!C91</f>
        <v>2359010</v>
      </c>
      <c r="D115" s="41">
        <f>'Conto Economico'!D91</f>
        <v>360175</v>
      </c>
      <c r="E115" s="5" t="e">
        <f>'Conto Economico'!E91</f>
        <v>#REF!</v>
      </c>
      <c r="F115" s="5" t="e">
        <f>'Conto Economico'!F91</f>
        <v>#REF!</v>
      </c>
      <c r="G115" s="5" t="e">
        <f>'Conto Economico'!G91</f>
        <v>#REF!</v>
      </c>
      <c r="H115" s="5">
        <v>450649030</v>
      </c>
      <c r="I115" s="5" t="e">
        <f>'Conto Economico'!H91</f>
        <v>#REF!</v>
      </c>
      <c r="J115" s="5">
        <v>-1476950272</v>
      </c>
    </row>
    <row r="116" spans="1:15" ht="12.95" customHeight="1">
      <c r="A116" s="4" t="s">
        <v>140</v>
      </c>
      <c r="C116" s="41">
        <v>0</v>
      </c>
      <c r="D116" s="41">
        <v>0</v>
      </c>
      <c r="E116" s="5"/>
      <c r="F116" s="5"/>
      <c r="G116" s="5"/>
    </row>
    <row r="117" spans="1:15" ht="12.95" customHeight="1">
      <c r="A117" s="14" t="s">
        <v>141</v>
      </c>
      <c r="B117" s="14"/>
      <c r="C117" s="15">
        <f>SUM(C99:C116)</f>
        <v>20690779</v>
      </c>
      <c r="D117" s="15">
        <f>SUM(D99:D116)</f>
        <v>18331769</v>
      </c>
      <c r="E117" s="15" t="e">
        <f>SUM(E99:E115)</f>
        <v>#REF!</v>
      </c>
      <c r="F117" s="15" t="e">
        <f>SUM(F99:F115)</f>
        <v>#REF!</v>
      </c>
      <c r="G117" s="15" t="e">
        <f>SUM(G99:G115)</f>
        <v>#REF!</v>
      </c>
      <c r="H117" s="15">
        <f>SUM(H99:H115)</f>
        <v>3593896929</v>
      </c>
      <c r="I117" s="15" t="e">
        <f>SUM(I99:I115)</f>
        <v>#REF!</v>
      </c>
      <c r="J117" s="15">
        <f>J99+J102+J114+J115</f>
        <v>865262553</v>
      </c>
      <c r="M117" s="5"/>
    </row>
    <row r="118" spans="1:15" ht="12.95" customHeight="1">
      <c r="C118" s="5"/>
      <c r="D118" s="5"/>
      <c r="E118" s="5"/>
      <c r="F118" s="5"/>
      <c r="G118" s="5"/>
      <c r="M118" s="5"/>
    </row>
    <row r="119" spans="1:15" ht="12.95" customHeight="1">
      <c r="A119" s="12" t="s">
        <v>142</v>
      </c>
      <c r="B119" s="12"/>
      <c r="C119" s="5"/>
      <c r="D119" s="5"/>
      <c r="E119" s="5"/>
      <c r="F119" s="5"/>
      <c r="G119" s="5"/>
    </row>
    <row r="120" spans="1:15" ht="12.95" hidden="1" customHeight="1">
      <c r="A120" s="4" t="s">
        <v>143</v>
      </c>
      <c r="C120" s="5"/>
      <c r="D120" s="5"/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</row>
    <row r="121" spans="1:15" ht="12.95" customHeight="1">
      <c r="A121" s="4" t="s">
        <v>144</v>
      </c>
      <c r="C121" s="41">
        <v>4144311</v>
      </c>
      <c r="D121" s="41">
        <v>4167619</v>
      </c>
      <c r="E121" s="5">
        <v>0</v>
      </c>
      <c r="F121" s="5">
        <v>0</v>
      </c>
      <c r="G121" s="5">
        <v>0</v>
      </c>
      <c r="H121" s="5">
        <v>14038345</v>
      </c>
      <c r="I121" s="5">
        <f>14038345</f>
        <v>14038345</v>
      </c>
      <c r="J121" s="5">
        <v>31579345</v>
      </c>
      <c r="L121" s="5"/>
    </row>
    <row r="122" spans="1:15" ht="12.95" hidden="1" customHeight="1">
      <c r="A122" s="4" t="s">
        <v>145</v>
      </c>
      <c r="C122" s="5"/>
      <c r="D122" s="5"/>
      <c r="E122" s="5"/>
      <c r="F122" s="5"/>
      <c r="G122" s="5"/>
      <c r="L122" s="5"/>
    </row>
    <row r="123" spans="1:15" ht="12.95" customHeight="1">
      <c r="A123" s="4" t="s">
        <v>146</v>
      </c>
      <c r="C123" s="5">
        <v>230961</v>
      </c>
      <c r="D123" s="5">
        <v>15382444</v>
      </c>
      <c r="E123" s="5">
        <f t="shared" ref="E123:J123" si="4">230960.62+8994406.63+1393568.2</f>
        <v>10618935.449999999</v>
      </c>
      <c r="F123" s="5">
        <f t="shared" si="4"/>
        <v>10618935.449999999</v>
      </c>
      <c r="G123" s="5">
        <f t="shared" si="4"/>
        <v>10618935.449999999</v>
      </c>
      <c r="H123" s="5">
        <f t="shared" si="4"/>
        <v>10618935.449999999</v>
      </c>
      <c r="I123" s="5">
        <f t="shared" si="4"/>
        <v>10618935.449999999</v>
      </c>
      <c r="J123" s="5">
        <f t="shared" si="4"/>
        <v>10618935.449999999</v>
      </c>
      <c r="K123" s="5"/>
      <c r="M123" s="27"/>
      <c r="N123" s="5"/>
    </row>
    <row r="124" spans="1:15" ht="12.95" customHeight="1">
      <c r="A124" s="14" t="s">
        <v>147</v>
      </c>
      <c r="B124" s="16" t="s">
        <v>148</v>
      </c>
      <c r="C124" s="15">
        <f>SUM(C120:C123)</f>
        <v>4375272</v>
      </c>
      <c r="D124" s="15">
        <f>SUM(D120:D123)</f>
        <v>19550063</v>
      </c>
      <c r="E124" s="15">
        <f>SUM(E121:E123)</f>
        <v>10618935.449999999</v>
      </c>
      <c r="F124" s="15">
        <f>SUM(F121:F123)</f>
        <v>10618935.449999999</v>
      </c>
      <c r="G124" s="15">
        <f>SUM(G121:G123)</f>
        <v>10618935.449999999</v>
      </c>
      <c r="H124" s="15">
        <f>SUM(H121:H123)</f>
        <v>24657280.449999999</v>
      </c>
      <c r="I124" s="15">
        <f>SUM(I121:I123)</f>
        <v>24657280.449999999</v>
      </c>
      <c r="J124" s="15">
        <f>J121+J123</f>
        <v>42198280.450000003</v>
      </c>
      <c r="M124" s="5"/>
      <c r="O124" s="5"/>
    </row>
    <row r="125" spans="1:15" ht="12.95" customHeight="1">
      <c r="C125" s="5"/>
      <c r="D125" s="5"/>
      <c r="E125" s="5"/>
      <c r="F125" s="5"/>
      <c r="G125" s="5"/>
    </row>
    <row r="126" spans="1:15" ht="12.95" customHeight="1">
      <c r="A126" s="14" t="s">
        <v>149</v>
      </c>
      <c r="B126" s="14"/>
      <c r="C126" s="15">
        <v>1502753</v>
      </c>
      <c r="D126" s="15">
        <v>1636267</v>
      </c>
      <c r="E126" s="15" t="e">
        <f>#REF!</f>
        <v>#REF!</v>
      </c>
      <c r="F126" s="15" t="e">
        <f>#REF!</f>
        <v>#REF!</v>
      </c>
      <c r="G126" s="15" t="e">
        <f>#REF!</f>
        <v>#REF!</v>
      </c>
      <c r="H126" s="15" t="e">
        <f>#REF!</f>
        <v>#REF!</v>
      </c>
      <c r="I126" s="15" t="e">
        <f>#REF!</f>
        <v>#REF!</v>
      </c>
      <c r="J126" s="15" t="e">
        <f>#REF!</f>
        <v>#REF!</v>
      </c>
      <c r="L126" s="5"/>
    </row>
    <row r="127" spans="1:15" ht="12.95" customHeight="1">
      <c r="C127" s="5"/>
      <c r="D127" s="5"/>
      <c r="E127" s="5"/>
      <c r="F127" s="5"/>
      <c r="G127" s="5"/>
    </row>
    <row r="128" spans="1:15" ht="12.95" customHeight="1">
      <c r="A128" s="12" t="s">
        <v>150</v>
      </c>
      <c r="B128" s="12"/>
      <c r="C128" s="5"/>
      <c r="D128" s="5"/>
      <c r="E128" s="5"/>
      <c r="F128" s="5"/>
      <c r="G128" s="5"/>
    </row>
    <row r="129" spans="1:14" ht="12.95" hidden="1" customHeight="1">
      <c r="A129" s="4" t="s">
        <v>151</v>
      </c>
      <c r="C129" s="5"/>
      <c r="D129" s="5"/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</row>
    <row r="130" spans="1:14" ht="12.95" hidden="1" customHeight="1">
      <c r="A130" s="4" t="s">
        <v>152</v>
      </c>
      <c r="C130" s="5"/>
      <c r="D130" s="5"/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</row>
    <row r="131" spans="1:14" ht="12.95" hidden="1" customHeight="1">
      <c r="A131" s="4" t="s">
        <v>153</v>
      </c>
      <c r="C131" s="5"/>
      <c r="D131" s="5"/>
      <c r="E131" s="5"/>
      <c r="F131" s="5"/>
      <c r="G131" s="5"/>
    </row>
    <row r="132" spans="1:14" ht="12.95" customHeight="1">
      <c r="A132" s="4" t="s">
        <v>154</v>
      </c>
      <c r="C132" s="5"/>
      <c r="D132" s="5"/>
      <c r="E132" s="5">
        <v>0</v>
      </c>
      <c r="F132" s="5">
        <v>0</v>
      </c>
      <c r="G132" s="5">
        <v>0</v>
      </c>
      <c r="H132" s="5">
        <v>0</v>
      </c>
      <c r="I132" s="4"/>
      <c r="J132" s="4"/>
    </row>
    <row r="133" spans="1:14" ht="12.95" customHeight="1">
      <c r="A133" s="4" t="s">
        <v>91</v>
      </c>
      <c r="C133" s="5">
        <v>4319873</v>
      </c>
      <c r="D133" s="5">
        <v>3377289</v>
      </c>
      <c r="E133" s="5"/>
      <c r="F133" s="5"/>
      <c r="G133" s="5"/>
      <c r="I133" s="4"/>
      <c r="J133" s="4"/>
    </row>
    <row r="134" spans="1:14" ht="12.95" customHeight="1">
      <c r="A134" s="4" t="s">
        <v>92</v>
      </c>
      <c r="C134" s="5">
        <v>9386045</v>
      </c>
      <c r="D134" s="5">
        <v>12787657</v>
      </c>
      <c r="E134" s="5"/>
      <c r="F134" s="5"/>
      <c r="G134" s="5"/>
      <c r="I134" s="4"/>
      <c r="J134" s="4"/>
      <c r="L134" s="5"/>
      <c r="M134" s="5"/>
    </row>
    <row r="135" spans="1:14" ht="12.95" hidden="1" customHeight="1">
      <c r="A135" s="4" t="s">
        <v>155</v>
      </c>
      <c r="C135" s="5"/>
      <c r="D135" s="5"/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</row>
    <row r="136" spans="1:14" ht="12.95" customHeight="1">
      <c r="A136" s="4" t="s">
        <v>156</v>
      </c>
      <c r="C136" s="5">
        <v>1633559</v>
      </c>
      <c r="D136" s="5">
        <v>561586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M136" s="5"/>
      <c r="N136" s="5"/>
    </row>
    <row r="137" spans="1:14" ht="12.95" customHeight="1">
      <c r="A137" s="4" t="s">
        <v>157</v>
      </c>
      <c r="C137" s="5">
        <v>6941200</v>
      </c>
      <c r="D137" s="5">
        <v>5667081</v>
      </c>
      <c r="H137" s="4"/>
      <c r="I137" s="4"/>
      <c r="J137" s="4"/>
      <c r="N137" s="5"/>
    </row>
    <row r="138" spans="1:14" ht="12.95" hidden="1" customHeight="1">
      <c r="A138" s="4" t="s">
        <v>91</v>
      </c>
      <c r="C138" s="5"/>
      <c r="D138" s="5"/>
      <c r="E138" s="5">
        <v>4731086676</v>
      </c>
      <c r="F138" s="5">
        <v>4281171288</v>
      </c>
      <c r="G138" s="5">
        <v>5123149399</v>
      </c>
      <c r="H138" s="5">
        <v>3335814036</v>
      </c>
      <c r="I138" s="5">
        <v>2310133278</v>
      </c>
      <c r="J138" s="5">
        <v>2141059498</v>
      </c>
    </row>
    <row r="139" spans="1:14" ht="12.95" hidden="1" customHeight="1">
      <c r="A139" s="4" t="s">
        <v>92</v>
      </c>
      <c r="C139" s="5"/>
      <c r="D139" s="5"/>
      <c r="E139" s="5">
        <v>0</v>
      </c>
      <c r="F139" s="5">
        <v>0</v>
      </c>
      <c r="G139" s="5">
        <v>0</v>
      </c>
      <c r="H139" s="5">
        <v>0</v>
      </c>
      <c r="I139" s="5">
        <v>0</v>
      </c>
    </row>
    <row r="140" spans="1:14" ht="12.95" hidden="1" customHeight="1">
      <c r="A140" s="4" t="s">
        <v>158</v>
      </c>
      <c r="C140" s="5"/>
      <c r="D140" s="5"/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</row>
    <row r="141" spans="1:14" ht="12.95" hidden="1" customHeight="1">
      <c r="A141" s="4" t="s">
        <v>159</v>
      </c>
      <c r="C141" s="5"/>
      <c r="D141" s="5"/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</row>
    <row r="142" spans="1:14" ht="12.95" hidden="1" customHeight="1">
      <c r="A142" s="4" t="s">
        <v>160</v>
      </c>
      <c r="C142" s="5"/>
      <c r="D142" s="5"/>
      <c r="E142" s="5"/>
      <c r="F142" s="5"/>
      <c r="G142" s="5"/>
    </row>
    <row r="143" spans="1:14" ht="12.95" customHeight="1">
      <c r="A143" s="4" t="s">
        <v>161</v>
      </c>
      <c r="C143" s="5"/>
      <c r="D143" s="5"/>
      <c r="E143" s="5"/>
      <c r="F143" s="5"/>
      <c r="G143" s="5"/>
    </row>
    <row r="144" spans="1:14" ht="12.95" hidden="1" customHeight="1">
      <c r="A144" s="4" t="s">
        <v>91</v>
      </c>
      <c r="C144" s="5">
        <v>0</v>
      </c>
      <c r="D144" s="5">
        <v>0</v>
      </c>
      <c r="E144" s="5">
        <v>4343110749</v>
      </c>
      <c r="F144" s="5">
        <v>4951530641</v>
      </c>
      <c r="G144" s="5">
        <v>6235895633</v>
      </c>
      <c r="H144" s="5">
        <v>3746773394</v>
      </c>
      <c r="I144" s="5">
        <v>3809715226</v>
      </c>
      <c r="J144" s="5" t="e">
        <f>#REF!-J145</f>
        <v>#REF!</v>
      </c>
    </row>
    <row r="145" spans="1:14" ht="12.95" customHeight="1">
      <c r="A145" s="4" t="s">
        <v>92</v>
      </c>
      <c r="C145" s="5">
        <v>16291513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935849931</v>
      </c>
      <c r="J145" s="5">
        <v>1438253579</v>
      </c>
    </row>
    <row r="146" spans="1:14" ht="12.95" hidden="1" customHeight="1">
      <c r="A146" s="4" t="s">
        <v>162</v>
      </c>
      <c r="C146" s="5"/>
      <c r="D146" s="5"/>
      <c r="E146" s="5"/>
      <c r="F146" s="5"/>
      <c r="G146" s="5"/>
    </row>
    <row r="147" spans="1:14" ht="12.95" customHeight="1">
      <c r="A147" s="4" t="s">
        <v>163</v>
      </c>
      <c r="C147" s="5">
        <v>452637</v>
      </c>
      <c r="D147" s="5">
        <v>205585</v>
      </c>
      <c r="H147" s="4"/>
      <c r="I147" s="4"/>
      <c r="J147" s="4"/>
      <c r="M147" s="5"/>
      <c r="N147" s="5"/>
    </row>
    <row r="148" spans="1:14" ht="12.95" hidden="1" customHeight="1">
      <c r="A148" s="4" t="s">
        <v>91</v>
      </c>
      <c r="C148" s="5"/>
      <c r="D148" s="5"/>
      <c r="E148" s="5">
        <f>495811853+3231000</f>
        <v>499042853</v>
      </c>
      <c r="F148" s="5">
        <f>154904854+331194919</f>
        <v>486099773</v>
      </c>
      <c r="G148" s="5">
        <f>880119495-60291000-178230000</f>
        <v>641598495</v>
      </c>
      <c r="H148" s="5">
        <f>357268610-165451000</f>
        <v>191817610</v>
      </c>
      <c r="I148" s="5">
        <f>154176745+170964480</f>
        <v>325141225</v>
      </c>
      <c r="J148" s="5">
        <v>116238984</v>
      </c>
    </row>
    <row r="149" spans="1:14" ht="12.95" hidden="1" customHeight="1">
      <c r="A149" s="4" t="s">
        <v>92</v>
      </c>
      <c r="C149" s="5"/>
      <c r="D149" s="5"/>
      <c r="E149" s="5">
        <v>0</v>
      </c>
      <c r="F149" s="5">
        <v>0</v>
      </c>
      <c r="G149" s="5">
        <v>0</v>
      </c>
      <c r="H149" s="5">
        <v>0</v>
      </c>
      <c r="I149" s="5">
        <v>0</v>
      </c>
    </row>
    <row r="150" spans="1:14" ht="12.95" customHeight="1">
      <c r="A150" s="4" t="s">
        <v>164</v>
      </c>
      <c r="C150" s="5">
        <v>178472</v>
      </c>
      <c r="D150" s="5">
        <v>195804</v>
      </c>
      <c r="H150" s="4"/>
      <c r="I150" s="4"/>
      <c r="J150" s="4"/>
    </row>
    <row r="151" spans="1:14" ht="12.95" hidden="1" customHeight="1">
      <c r="A151" s="4" t="s">
        <v>91</v>
      </c>
      <c r="C151" s="5"/>
      <c r="D151" s="5"/>
      <c r="E151" s="5">
        <v>238524388</v>
      </c>
      <c r="F151" s="5">
        <v>166620330</v>
      </c>
      <c r="G151" s="5">
        <f>376290470-97742400</f>
        <v>278548070</v>
      </c>
      <c r="H151" s="5">
        <f>311913852-104241700</f>
        <v>207672152</v>
      </c>
      <c r="I151" s="5">
        <v>281442605</v>
      </c>
      <c r="J151" s="5">
        <v>286212237</v>
      </c>
    </row>
    <row r="152" spans="1:14" ht="12.95" hidden="1" customHeight="1">
      <c r="A152" s="4" t="s">
        <v>92</v>
      </c>
      <c r="C152" s="5"/>
      <c r="D152" s="5"/>
      <c r="E152" s="5">
        <v>0</v>
      </c>
      <c r="F152" s="5">
        <v>0</v>
      </c>
      <c r="G152" s="5">
        <v>0</v>
      </c>
      <c r="H152" s="5">
        <v>0</v>
      </c>
      <c r="I152" s="5">
        <v>0</v>
      </c>
    </row>
    <row r="153" spans="1:14" ht="12.95" customHeight="1">
      <c r="A153" s="4" t="s">
        <v>165</v>
      </c>
      <c r="C153" s="5">
        <f>2198723+1-1542234</f>
        <v>656490</v>
      </c>
      <c r="D153" s="5">
        <v>962653</v>
      </c>
      <c r="H153" s="4"/>
      <c r="I153" s="4"/>
      <c r="J153" s="4"/>
    </row>
    <row r="154" spans="1:14" ht="12.95" hidden="1" customHeight="1">
      <c r="A154" s="4" t="s">
        <v>91</v>
      </c>
      <c r="C154" s="5"/>
      <c r="D154" s="5"/>
      <c r="E154" s="5">
        <v>2096919278</v>
      </c>
      <c r="F154" s="5">
        <v>2733833998</v>
      </c>
      <c r="G154" s="5">
        <v>1966846479</v>
      </c>
      <c r="H154" s="5">
        <v>1739156044</v>
      </c>
      <c r="I154" s="5">
        <v>1550526583</v>
      </c>
      <c r="J154" s="5">
        <v>1395359645</v>
      </c>
    </row>
    <row r="155" spans="1:14" ht="12.95" hidden="1" customHeight="1">
      <c r="A155" s="4" t="s">
        <v>92</v>
      </c>
      <c r="C155" s="5"/>
      <c r="D155" s="5"/>
      <c r="E155" s="5">
        <v>0</v>
      </c>
      <c r="F155" s="5">
        <v>0</v>
      </c>
      <c r="G155" s="5">
        <v>0</v>
      </c>
      <c r="H155" s="5">
        <v>0</v>
      </c>
      <c r="I155" s="5">
        <v>0</v>
      </c>
    </row>
    <row r="156" spans="1:14" ht="12.95" hidden="1" customHeight="1">
      <c r="A156" s="4" t="s">
        <v>166</v>
      </c>
      <c r="C156" s="5"/>
      <c r="D156" s="5"/>
      <c r="H156" s="4"/>
    </row>
    <row r="157" spans="1:14" ht="12.95" hidden="1" customHeight="1">
      <c r="A157" s="4" t="s">
        <v>91</v>
      </c>
      <c r="C157" s="5"/>
      <c r="D157" s="5"/>
      <c r="E157" s="5">
        <f>1508136799+626384000</f>
        <v>2134520799</v>
      </c>
      <c r="F157" s="5">
        <v>1299630667</v>
      </c>
      <c r="G157" s="5">
        <v>1168156150</v>
      </c>
      <c r="H157" s="5">
        <v>874424927</v>
      </c>
    </row>
    <row r="158" spans="1:14" ht="12.95" hidden="1" customHeight="1">
      <c r="A158" s="4" t="s">
        <v>92</v>
      </c>
      <c r="C158" s="5"/>
      <c r="D158" s="5"/>
      <c r="E158" s="5">
        <v>0</v>
      </c>
      <c r="F158" s="5">
        <v>0</v>
      </c>
      <c r="G158" s="5">
        <v>0</v>
      </c>
      <c r="H158" s="5">
        <v>0</v>
      </c>
    </row>
    <row r="159" spans="1:14" ht="12.95" customHeight="1">
      <c r="A159" s="14"/>
      <c r="B159" s="16" t="s">
        <v>167</v>
      </c>
      <c r="C159" s="15">
        <f>SUM(C129:C158)</f>
        <v>39859789</v>
      </c>
      <c r="D159" s="15">
        <f>SUM(D129:D158)</f>
        <v>23757655</v>
      </c>
      <c r="E159" s="15">
        <f>E138+E144+E145+E148+E151+E154+E157+E142</f>
        <v>14043204743</v>
      </c>
      <c r="F159" s="15">
        <f>F138+F144+F145+F148+F151+F154+F157</f>
        <v>13918886697</v>
      </c>
      <c r="G159" s="15">
        <f>G138+G144+G145+G148+G151+G154+G157</f>
        <v>15414194226</v>
      </c>
      <c r="H159" s="15">
        <f>H138+H144+H145+H148+H151+H154+H157</f>
        <v>10095658163</v>
      </c>
      <c r="I159" s="15" t="e">
        <f>#REF!+I138+#REF!+I144+I145+I148+I151+I154</f>
        <v>#REF!</v>
      </c>
      <c r="J159" s="15" t="e">
        <f>#REF!+J138+J144+J145+J148+J151+J154</f>
        <v>#REF!</v>
      </c>
      <c r="L159" s="5"/>
    </row>
    <row r="160" spans="1:14" ht="12.95" customHeight="1">
      <c r="A160" s="12"/>
      <c r="B160" s="19"/>
      <c r="C160" s="13"/>
      <c r="D160" s="13"/>
      <c r="E160" s="13"/>
      <c r="F160" s="13"/>
      <c r="G160" s="13"/>
      <c r="H160" s="13"/>
      <c r="I160" s="13"/>
      <c r="J160" s="13"/>
    </row>
    <row r="161" spans="1:10" ht="12.95" customHeight="1">
      <c r="A161" s="12" t="s">
        <v>168</v>
      </c>
      <c r="B161" s="12"/>
      <c r="C161" s="5"/>
      <c r="D161" s="5"/>
      <c r="E161" s="5"/>
      <c r="F161" s="5"/>
      <c r="G161" s="5"/>
    </row>
    <row r="162" spans="1:10" ht="12.95" customHeight="1">
      <c r="A162" s="4" t="s">
        <v>169</v>
      </c>
      <c r="C162" s="5">
        <v>2635860</v>
      </c>
      <c r="D162" s="5">
        <v>2825275</v>
      </c>
      <c r="E162" s="5">
        <v>1145079</v>
      </c>
      <c r="F162" s="5">
        <v>0</v>
      </c>
      <c r="G162" s="5">
        <v>0</v>
      </c>
      <c r="H162" s="5">
        <v>58939171</v>
      </c>
      <c r="I162" s="5">
        <v>81327131</v>
      </c>
      <c r="J162" s="5">
        <v>98126981</v>
      </c>
    </row>
    <row r="163" spans="1:10" ht="12.95" customHeight="1">
      <c r="A163" s="14"/>
      <c r="B163" s="16" t="s">
        <v>170</v>
      </c>
      <c r="C163" s="15">
        <f>C162</f>
        <v>2635860</v>
      </c>
      <c r="D163" s="15">
        <f>D162</f>
        <v>2825275</v>
      </c>
      <c r="E163" s="15">
        <f t="shared" ref="E163:J163" si="5">E162</f>
        <v>1145079</v>
      </c>
      <c r="F163" s="15">
        <f t="shared" si="5"/>
        <v>0</v>
      </c>
      <c r="G163" s="15">
        <f t="shared" si="5"/>
        <v>0</v>
      </c>
      <c r="H163" s="15">
        <f t="shared" si="5"/>
        <v>58939171</v>
      </c>
      <c r="I163" s="15">
        <f t="shared" si="5"/>
        <v>81327131</v>
      </c>
      <c r="J163" s="15">
        <f t="shared" si="5"/>
        <v>98126981</v>
      </c>
    </row>
    <row r="164" spans="1:10" ht="12.95" customHeight="1" thickBot="1">
      <c r="A164" s="42"/>
      <c r="B164" s="43"/>
      <c r="C164" s="44"/>
      <c r="D164" s="44"/>
      <c r="E164" s="13"/>
      <c r="F164" s="13"/>
      <c r="G164" s="13"/>
      <c r="H164" s="13"/>
      <c r="I164" s="13"/>
      <c r="J164" s="13"/>
    </row>
    <row r="165" spans="1:10" ht="12.95" customHeight="1" thickBot="1">
      <c r="A165" s="45" t="s">
        <v>171</v>
      </c>
      <c r="B165" s="46"/>
      <c r="C165" s="47">
        <f>C124+C126+C159+C163</f>
        <v>48373674</v>
      </c>
      <c r="D165" s="47">
        <f>D124+D126+D159+D163</f>
        <v>47769260</v>
      </c>
      <c r="E165" s="13"/>
      <c r="F165" s="13"/>
      <c r="G165" s="13"/>
      <c r="H165" s="13"/>
      <c r="I165" s="13"/>
      <c r="J165" s="13"/>
    </row>
    <row r="166" spans="1:10" ht="12.95" customHeight="1" thickBot="1">
      <c r="A166" s="48"/>
      <c r="C166" s="5"/>
      <c r="D166" s="5"/>
      <c r="E166" s="5"/>
      <c r="F166" s="5"/>
      <c r="G166" s="5"/>
    </row>
    <row r="167" spans="1:10" ht="12.95" customHeight="1" thickTop="1" thickBot="1">
      <c r="A167" s="49" t="s">
        <v>172</v>
      </c>
      <c r="B167" s="50"/>
      <c r="C167" s="35">
        <f>C117+C165</f>
        <v>69064453</v>
      </c>
      <c r="D167" s="35">
        <f>D117+D165</f>
        <v>66101029</v>
      </c>
      <c r="E167" s="35" t="e">
        <f t="shared" ref="E167:J167" si="6">E117+E124+E126+E159+E163</f>
        <v>#REF!</v>
      </c>
      <c r="F167" s="35" t="e">
        <f t="shared" si="6"/>
        <v>#REF!</v>
      </c>
      <c r="G167" s="35" t="e">
        <f t="shared" si="6"/>
        <v>#REF!</v>
      </c>
      <c r="H167" s="36" t="e">
        <f t="shared" si="6"/>
        <v>#REF!</v>
      </c>
      <c r="I167" s="37" t="e">
        <f t="shared" si="6"/>
        <v>#REF!</v>
      </c>
      <c r="J167" s="37" t="e">
        <f t="shared" si="6"/>
        <v>#REF!</v>
      </c>
    </row>
    <row r="168" spans="1:10" ht="12.95" customHeight="1">
      <c r="C168" s="5"/>
      <c r="D168" s="5"/>
      <c r="E168" s="5"/>
      <c r="F168" s="5"/>
      <c r="G168" s="5"/>
    </row>
    <row r="169" spans="1:10" ht="12.95" customHeight="1">
      <c r="A169" s="38"/>
    </row>
    <row r="171" spans="1:10" ht="12.95" customHeight="1">
      <c r="C171" s="5">
        <f>C92-C167</f>
        <v>0.21000000834465027</v>
      </c>
      <c r="D171" s="5">
        <f>D92-D167</f>
        <v>0</v>
      </c>
    </row>
    <row r="173" spans="1:10" ht="12.95" customHeight="1">
      <c r="C173" s="5"/>
    </row>
    <row r="174" spans="1:10" ht="12.95" customHeight="1">
      <c r="D174" s="5"/>
    </row>
  </sheetData>
  <printOptions horizontalCentered="1"/>
  <pageMargins left="0.39370078740157483" right="0.39370078740157483" top="0.39370078740157483" bottom="0.43307086614173229" header="0.51181102362204722" footer="0.51181102362204722"/>
  <pageSetup paperSize="9" scale="90" orientation="portrait" r:id="rId1"/>
  <headerFooter alignWithMargins="0"/>
  <rowBreaks count="1" manualBreakCount="1"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BBAA-5F9B-4525-A91D-66A31D4A39A4}">
  <sheetPr>
    <pageSetUpPr fitToPage="1"/>
  </sheetPr>
  <dimension ref="A1:S161"/>
  <sheetViews>
    <sheetView showGridLines="0" topLeftCell="A35" zoomScale="125" zoomScaleNormal="125" workbookViewId="0">
      <selection activeCell="A79" sqref="A79"/>
    </sheetView>
  </sheetViews>
  <sheetFormatPr defaultRowHeight="12.75"/>
  <cols>
    <col min="1" max="2" width="41.7109375" style="4" customWidth="1"/>
    <col min="3" max="4" width="16.7109375" style="4" customWidth="1"/>
    <col min="5" max="7" width="15.7109375" style="4" hidden="1" customWidth="1"/>
    <col min="8" max="8" width="15.7109375" style="5" hidden="1" customWidth="1"/>
    <col min="9" max="9" width="16" style="5" hidden="1" customWidth="1"/>
    <col min="10" max="10" width="15.7109375" style="5" hidden="1" customWidth="1"/>
    <col min="11" max="11" width="1.7109375" style="4" customWidth="1"/>
    <col min="12" max="12" width="13.42578125" style="38" bestFit="1" customWidth="1"/>
    <col min="13" max="13" width="1.7109375" style="4" customWidth="1"/>
    <col min="14" max="14" width="14.85546875" style="4" bestFit="1" customWidth="1"/>
    <col min="15" max="15" width="9.140625" style="4"/>
    <col min="16" max="17" width="9.7109375" style="4" bestFit="1" customWidth="1"/>
    <col min="18" max="256" width="9.140625" style="4"/>
    <col min="257" max="258" width="41.7109375" style="4" customWidth="1"/>
    <col min="259" max="260" width="16.7109375" style="4" customWidth="1"/>
    <col min="261" max="266" width="0" style="4" hidden="1" customWidth="1"/>
    <col min="267" max="267" width="1.7109375" style="4" customWidth="1"/>
    <col min="268" max="268" width="13.42578125" style="4" bestFit="1" customWidth="1"/>
    <col min="269" max="269" width="1.7109375" style="4" customWidth="1"/>
    <col min="270" max="270" width="14.85546875" style="4" bestFit="1" customWidth="1"/>
    <col min="271" max="271" width="9.140625" style="4"/>
    <col min="272" max="273" width="9.7109375" style="4" bestFit="1" customWidth="1"/>
    <col min="274" max="512" width="9.140625" style="4"/>
    <col min="513" max="514" width="41.7109375" style="4" customWidth="1"/>
    <col min="515" max="516" width="16.7109375" style="4" customWidth="1"/>
    <col min="517" max="522" width="0" style="4" hidden="1" customWidth="1"/>
    <col min="523" max="523" width="1.7109375" style="4" customWidth="1"/>
    <col min="524" max="524" width="13.42578125" style="4" bestFit="1" customWidth="1"/>
    <col min="525" max="525" width="1.7109375" style="4" customWidth="1"/>
    <col min="526" max="526" width="14.85546875" style="4" bestFit="1" customWidth="1"/>
    <col min="527" max="527" width="9.140625" style="4"/>
    <col min="528" max="529" width="9.7109375" style="4" bestFit="1" customWidth="1"/>
    <col min="530" max="768" width="9.140625" style="4"/>
    <col min="769" max="770" width="41.7109375" style="4" customWidth="1"/>
    <col min="771" max="772" width="16.7109375" style="4" customWidth="1"/>
    <col min="773" max="778" width="0" style="4" hidden="1" customWidth="1"/>
    <col min="779" max="779" width="1.7109375" style="4" customWidth="1"/>
    <col min="780" max="780" width="13.42578125" style="4" bestFit="1" customWidth="1"/>
    <col min="781" max="781" width="1.7109375" style="4" customWidth="1"/>
    <col min="782" max="782" width="14.85546875" style="4" bestFit="1" customWidth="1"/>
    <col min="783" max="783" width="9.140625" style="4"/>
    <col min="784" max="785" width="9.7109375" style="4" bestFit="1" customWidth="1"/>
    <col min="786" max="1024" width="9.140625" style="4"/>
    <col min="1025" max="1026" width="41.7109375" style="4" customWidth="1"/>
    <col min="1027" max="1028" width="16.7109375" style="4" customWidth="1"/>
    <col min="1029" max="1034" width="0" style="4" hidden="1" customWidth="1"/>
    <col min="1035" max="1035" width="1.7109375" style="4" customWidth="1"/>
    <col min="1036" max="1036" width="13.42578125" style="4" bestFit="1" customWidth="1"/>
    <col min="1037" max="1037" width="1.7109375" style="4" customWidth="1"/>
    <col min="1038" max="1038" width="14.85546875" style="4" bestFit="1" customWidth="1"/>
    <col min="1039" max="1039" width="9.140625" style="4"/>
    <col min="1040" max="1041" width="9.7109375" style="4" bestFit="1" customWidth="1"/>
    <col min="1042" max="1280" width="9.140625" style="4"/>
    <col min="1281" max="1282" width="41.7109375" style="4" customWidth="1"/>
    <col min="1283" max="1284" width="16.7109375" style="4" customWidth="1"/>
    <col min="1285" max="1290" width="0" style="4" hidden="1" customWidth="1"/>
    <col min="1291" max="1291" width="1.7109375" style="4" customWidth="1"/>
    <col min="1292" max="1292" width="13.42578125" style="4" bestFit="1" customWidth="1"/>
    <col min="1293" max="1293" width="1.7109375" style="4" customWidth="1"/>
    <col min="1294" max="1294" width="14.85546875" style="4" bestFit="1" customWidth="1"/>
    <col min="1295" max="1295" width="9.140625" style="4"/>
    <col min="1296" max="1297" width="9.7109375" style="4" bestFit="1" customWidth="1"/>
    <col min="1298" max="1536" width="9.140625" style="4"/>
    <col min="1537" max="1538" width="41.7109375" style="4" customWidth="1"/>
    <col min="1539" max="1540" width="16.7109375" style="4" customWidth="1"/>
    <col min="1541" max="1546" width="0" style="4" hidden="1" customWidth="1"/>
    <col min="1547" max="1547" width="1.7109375" style="4" customWidth="1"/>
    <col min="1548" max="1548" width="13.42578125" style="4" bestFit="1" customWidth="1"/>
    <col min="1549" max="1549" width="1.7109375" style="4" customWidth="1"/>
    <col min="1550" max="1550" width="14.85546875" style="4" bestFit="1" customWidth="1"/>
    <col min="1551" max="1551" width="9.140625" style="4"/>
    <col min="1552" max="1553" width="9.7109375" style="4" bestFit="1" customWidth="1"/>
    <col min="1554" max="1792" width="9.140625" style="4"/>
    <col min="1793" max="1794" width="41.7109375" style="4" customWidth="1"/>
    <col min="1795" max="1796" width="16.7109375" style="4" customWidth="1"/>
    <col min="1797" max="1802" width="0" style="4" hidden="1" customWidth="1"/>
    <col min="1803" max="1803" width="1.7109375" style="4" customWidth="1"/>
    <col min="1804" max="1804" width="13.42578125" style="4" bestFit="1" customWidth="1"/>
    <col min="1805" max="1805" width="1.7109375" style="4" customWidth="1"/>
    <col min="1806" max="1806" width="14.85546875" style="4" bestFit="1" customWidth="1"/>
    <col min="1807" max="1807" width="9.140625" style="4"/>
    <col min="1808" max="1809" width="9.7109375" style="4" bestFit="1" customWidth="1"/>
    <col min="1810" max="2048" width="9.140625" style="4"/>
    <col min="2049" max="2050" width="41.7109375" style="4" customWidth="1"/>
    <col min="2051" max="2052" width="16.7109375" style="4" customWidth="1"/>
    <col min="2053" max="2058" width="0" style="4" hidden="1" customWidth="1"/>
    <col min="2059" max="2059" width="1.7109375" style="4" customWidth="1"/>
    <col min="2060" max="2060" width="13.42578125" style="4" bestFit="1" customWidth="1"/>
    <col min="2061" max="2061" width="1.7109375" style="4" customWidth="1"/>
    <col min="2062" max="2062" width="14.85546875" style="4" bestFit="1" customWidth="1"/>
    <col min="2063" max="2063" width="9.140625" style="4"/>
    <col min="2064" max="2065" width="9.7109375" style="4" bestFit="1" customWidth="1"/>
    <col min="2066" max="2304" width="9.140625" style="4"/>
    <col min="2305" max="2306" width="41.7109375" style="4" customWidth="1"/>
    <col min="2307" max="2308" width="16.7109375" style="4" customWidth="1"/>
    <col min="2309" max="2314" width="0" style="4" hidden="1" customWidth="1"/>
    <col min="2315" max="2315" width="1.7109375" style="4" customWidth="1"/>
    <col min="2316" max="2316" width="13.42578125" style="4" bestFit="1" customWidth="1"/>
    <col min="2317" max="2317" width="1.7109375" style="4" customWidth="1"/>
    <col min="2318" max="2318" width="14.85546875" style="4" bestFit="1" customWidth="1"/>
    <col min="2319" max="2319" width="9.140625" style="4"/>
    <col min="2320" max="2321" width="9.7109375" style="4" bestFit="1" customWidth="1"/>
    <col min="2322" max="2560" width="9.140625" style="4"/>
    <col min="2561" max="2562" width="41.7109375" style="4" customWidth="1"/>
    <col min="2563" max="2564" width="16.7109375" style="4" customWidth="1"/>
    <col min="2565" max="2570" width="0" style="4" hidden="1" customWidth="1"/>
    <col min="2571" max="2571" width="1.7109375" style="4" customWidth="1"/>
    <col min="2572" max="2572" width="13.42578125" style="4" bestFit="1" customWidth="1"/>
    <col min="2573" max="2573" width="1.7109375" style="4" customWidth="1"/>
    <col min="2574" max="2574" width="14.85546875" style="4" bestFit="1" customWidth="1"/>
    <col min="2575" max="2575" width="9.140625" style="4"/>
    <col min="2576" max="2577" width="9.7109375" style="4" bestFit="1" customWidth="1"/>
    <col min="2578" max="2816" width="9.140625" style="4"/>
    <col min="2817" max="2818" width="41.7109375" style="4" customWidth="1"/>
    <col min="2819" max="2820" width="16.7109375" style="4" customWidth="1"/>
    <col min="2821" max="2826" width="0" style="4" hidden="1" customWidth="1"/>
    <col min="2827" max="2827" width="1.7109375" style="4" customWidth="1"/>
    <col min="2828" max="2828" width="13.42578125" style="4" bestFit="1" customWidth="1"/>
    <col min="2829" max="2829" width="1.7109375" style="4" customWidth="1"/>
    <col min="2830" max="2830" width="14.85546875" style="4" bestFit="1" customWidth="1"/>
    <col min="2831" max="2831" width="9.140625" style="4"/>
    <col min="2832" max="2833" width="9.7109375" style="4" bestFit="1" customWidth="1"/>
    <col min="2834" max="3072" width="9.140625" style="4"/>
    <col min="3073" max="3074" width="41.7109375" style="4" customWidth="1"/>
    <col min="3075" max="3076" width="16.7109375" style="4" customWidth="1"/>
    <col min="3077" max="3082" width="0" style="4" hidden="1" customWidth="1"/>
    <col min="3083" max="3083" width="1.7109375" style="4" customWidth="1"/>
    <col min="3084" max="3084" width="13.42578125" style="4" bestFit="1" customWidth="1"/>
    <col min="3085" max="3085" width="1.7109375" style="4" customWidth="1"/>
    <col min="3086" max="3086" width="14.85546875" style="4" bestFit="1" customWidth="1"/>
    <col min="3087" max="3087" width="9.140625" style="4"/>
    <col min="3088" max="3089" width="9.7109375" style="4" bestFit="1" customWidth="1"/>
    <col min="3090" max="3328" width="9.140625" style="4"/>
    <col min="3329" max="3330" width="41.7109375" style="4" customWidth="1"/>
    <col min="3331" max="3332" width="16.7109375" style="4" customWidth="1"/>
    <col min="3333" max="3338" width="0" style="4" hidden="1" customWidth="1"/>
    <col min="3339" max="3339" width="1.7109375" style="4" customWidth="1"/>
    <col min="3340" max="3340" width="13.42578125" style="4" bestFit="1" customWidth="1"/>
    <col min="3341" max="3341" width="1.7109375" style="4" customWidth="1"/>
    <col min="3342" max="3342" width="14.85546875" style="4" bestFit="1" customWidth="1"/>
    <col min="3343" max="3343" width="9.140625" style="4"/>
    <col min="3344" max="3345" width="9.7109375" style="4" bestFit="1" customWidth="1"/>
    <col min="3346" max="3584" width="9.140625" style="4"/>
    <col min="3585" max="3586" width="41.7109375" style="4" customWidth="1"/>
    <col min="3587" max="3588" width="16.7109375" style="4" customWidth="1"/>
    <col min="3589" max="3594" width="0" style="4" hidden="1" customWidth="1"/>
    <col min="3595" max="3595" width="1.7109375" style="4" customWidth="1"/>
    <col min="3596" max="3596" width="13.42578125" style="4" bestFit="1" customWidth="1"/>
    <col min="3597" max="3597" width="1.7109375" style="4" customWidth="1"/>
    <col min="3598" max="3598" width="14.85546875" style="4" bestFit="1" customWidth="1"/>
    <col min="3599" max="3599" width="9.140625" style="4"/>
    <col min="3600" max="3601" width="9.7109375" style="4" bestFit="1" customWidth="1"/>
    <col min="3602" max="3840" width="9.140625" style="4"/>
    <col min="3841" max="3842" width="41.7109375" style="4" customWidth="1"/>
    <col min="3843" max="3844" width="16.7109375" style="4" customWidth="1"/>
    <col min="3845" max="3850" width="0" style="4" hidden="1" customWidth="1"/>
    <col min="3851" max="3851" width="1.7109375" style="4" customWidth="1"/>
    <col min="3852" max="3852" width="13.42578125" style="4" bestFit="1" customWidth="1"/>
    <col min="3853" max="3853" width="1.7109375" style="4" customWidth="1"/>
    <col min="3854" max="3854" width="14.85546875" style="4" bestFit="1" customWidth="1"/>
    <col min="3855" max="3855" width="9.140625" style="4"/>
    <col min="3856" max="3857" width="9.7109375" style="4" bestFit="1" customWidth="1"/>
    <col min="3858" max="4096" width="9.140625" style="4"/>
    <col min="4097" max="4098" width="41.7109375" style="4" customWidth="1"/>
    <col min="4099" max="4100" width="16.7109375" style="4" customWidth="1"/>
    <col min="4101" max="4106" width="0" style="4" hidden="1" customWidth="1"/>
    <col min="4107" max="4107" width="1.7109375" style="4" customWidth="1"/>
    <col min="4108" max="4108" width="13.42578125" style="4" bestFit="1" customWidth="1"/>
    <col min="4109" max="4109" width="1.7109375" style="4" customWidth="1"/>
    <col min="4110" max="4110" width="14.85546875" style="4" bestFit="1" customWidth="1"/>
    <col min="4111" max="4111" width="9.140625" style="4"/>
    <col min="4112" max="4113" width="9.7109375" style="4" bestFit="1" customWidth="1"/>
    <col min="4114" max="4352" width="9.140625" style="4"/>
    <col min="4353" max="4354" width="41.7109375" style="4" customWidth="1"/>
    <col min="4355" max="4356" width="16.7109375" style="4" customWidth="1"/>
    <col min="4357" max="4362" width="0" style="4" hidden="1" customWidth="1"/>
    <col min="4363" max="4363" width="1.7109375" style="4" customWidth="1"/>
    <col min="4364" max="4364" width="13.42578125" style="4" bestFit="1" customWidth="1"/>
    <col min="4365" max="4365" width="1.7109375" style="4" customWidth="1"/>
    <col min="4366" max="4366" width="14.85546875" style="4" bestFit="1" customWidth="1"/>
    <col min="4367" max="4367" width="9.140625" style="4"/>
    <col min="4368" max="4369" width="9.7109375" style="4" bestFit="1" customWidth="1"/>
    <col min="4370" max="4608" width="9.140625" style="4"/>
    <col min="4609" max="4610" width="41.7109375" style="4" customWidth="1"/>
    <col min="4611" max="4612" width="16.7109375" style="4" customWidth="1"/>
    <col min="4613" max="4618" width="0" style="4" hidden="1" customWidth="1"/>
    <col min="4619" max="4619" width="1.7109375" style="4" customWidth="1"/>
    <col min="4620" max="4620" width="13.42578125" style="4" bestFit="1" customWidth="1"/>
    <col min="4621" max="4621" width="1.7109375" style="4" customWidth="1"/>
    <col min="4622" max="4622" width="14.85546875" style="4" bestFit="1" customWidth="1"/>
    <col min="4623" max="4623" width="9.140625" style="4"/>
    <col min="4624" max="4625" width="9.7109375" style="4" bestFit="1" customWidth="1"/>
    <col min="4626" max="4864" width="9.140625" style="4"/>
    <col min="4865" max="4866" width="41.7109375" style="4" customWidth="1"/>
    <col min="4867" max="4868" width="16.7109375" style="4" customWidth="1"/>
    <col min="4869" max="4874" width="0" style="4" hidden="1" customWidth="1"/>
    <col min="4875" max="4875" width="1.7109375" style="4" customWidth="1"/>
    <col min="4876" max="4876" width="13.42578125" style="4" bestFit="1" customWidth="1"/>
    <col min="4877" max="4877" width="1.7109375" style="4" customWidth="1"/>
    <col min="4878" max="4878" width="14.85546875" style="4" bestFit="1" customWidth="1"/>
    <col min="4879" max="4879" width="9.140625" style="4"/>
    <col min="4880" max="4881" width="9.7109375" style="4" bestFit="1" customWidth="1"/>
    <col min="4882" max="5120" width="9.140625" style="4"/>
    <col min="5121" max="5122" width="41.7109375" style="4" customWidth="1"/>
    <col min="5123" max="5124" width="16.7109375" style="4" customWidth="1"/>
    <col min="5125" max="5130" width="0" style="4" hidden="1" customWidth="1"/>
    <col min="5131" max="5131" width="1.7109375" style="4" customWidth="1"/>
    <col min="5132" max="5132" width="13.42578125" style="4" bestFit="1" customWidth="1"/>
    <col min="5133" max="5133" width="1.7109375" style="4" customWidth="1"/>
    <col min="5134" max="5134" width="14.85546875" style="4" bestFit="1" customWidth="1"/>
    <col min="5135" max="5135" width="9.140625" style="4"/>
    <col min="5136" max="5137" width="9.7109375" style="4" bestFit="1" customWidth="1"/>
    <col min="5138" max="5376" width="9.140625" style="4"/>
    <col min="5377" max="5378" width="41.7109375" style="4" customWidth="1"/>
    <col min="5379" max="5380" width="16.7109375" style="4" customWidth="1"/>
    <col min="5381" max="5386" width="0" style="4" hidden="1" customWidth="1"/>
    <col min="5387" max="5387" width="1.7109375" style="4" customWidth="1"/>
    <col min="5388" max="5388" width="13.42578125" style="4" bestFit="1" customWidth="1"/>
    <col min="5389" max="5389" width="1.7109375" style="4" customWidth="1"/>
    <col min="5390" max="5390" width="14.85546875" style="4" bestFit="1" customWidth="1"/>
    <col min="5391" max="5391" width="9.140625" style="4"/>
    <col min="5392" max="5393" width="9.7109375" style="4" bestFit="1" customWidth="1"/>
    <col min="5394" max="5632" width="9.140625" style="4"/>
    <col min="5633" max="5634" width="41.7109375" style="4" customWidth="1"/>
    <col min="5635" max="5636" width="16.7109375" style="4" customWidth="1"/>
    <col min="5637" max="5642" width="0" style="4" hidden="1" customWidth="1"/>
    <col min="5643" max="5643" width="1.7109375" style="4" customWidth="1"/>
    <col min="5644" max="5644" width="13.42578125" style="4" bestFit="1" customWidth="1"/>
    <col min="5645" max="5645" width="1.7109375" style="4" customWidth="1"/>
    <col min="5646" max="5646" width="14.85546875" style="4" bestFit="1" customWidth="1"/>
    <col min="5647" max="5647" width="9.140625" style="4"/>
    <col min="5648" max="5649" width="9.7109375" style="4" bestFit="1" customWidth="1"/>
    <col min="5650" max="5888" width="9.140625" style="4"/>
    <col min="5889" max="5890" width="41.7109375" style="4" customWidth="1"/>
    <col min="5891" max="5892" width="16.7109375" style="4" customWidth="1"/>
    <col min="5893" max="5898" width="0" style="4" hidden="1" customWidth="1"/>
    <col min="5899" max="5899" width="1.7109375" style="4" customWidth="1"/>
    <col min="5900" max="5900" width="13.42578125" style="4" bestFit="1" customWidth="1"/>
    <col min="5901" max="5901" width="1.7109375" style="4" customWidth="1"/>
    <col min="5902" max="5902" width="14.85546875" style="4" bestFit="1" customWidth="1"/>
    <col min="5903" max="5903" width="9.140625" style="4"/>
    <col min="5904" max="5905" width="9.7109375" style="4" bestFit="1" customWidth="1"/>
    <col min="5906" max="6144" width="9.140625" style="4"/>
    <col min="6145" max="6146" width="41.7109375" style="4" customWidth="1"/>
    <col min="6147" max="6148" width="16.7109375" style="4" customWidth="1"/>
    <col min="6149" max="6154" width="0" style="4" hidden="1" customWidth="1"/>
    <col min="6155" max="6155" width="1.7109375" style="4" customWidth="1"/>
    <col min="6156" max="6156" width="13.42578125" style="4" bestFit="1" customWidth="1"/>
    <col min="6157" max="6157" width="1.7109375" style="4" customWidth="1"/>
    <col min="6158" max="6158" width="14.85546875" style="4" bestFit="1" customWidth="1"/>
    <col min="6159" max="6159" width="9.140625" style="4"/>
    <col min="6160" max="6161" width="9.7109375" style="4" bestFit="1" customWidth="1"/>
    <col min="6162" max="6400" width="9.140625" style="4"/>
    <col min="6401" max="6402" width="41.7109375" style="4" customWidth="1"/>
    <col min="6403" max="6404" width="16.7109375" style="4" customWidth="1"/>
    <col min="6405" max="6410" width="0" style="4" hidden="1" customWidth="1"/>
    <col min="6411" max="6411" width="1.7109375" style="4" customWidth="1"/>
    <col min="6412" max="6412" width="13.42578125" style="4" bestFit="1" customWidth="1"/>
    <col min="6413" max="6413" width="1.7109375" style="4" customWidth="1"/>
    <col min="6414" max="6414" width="14.85546875" style="4" bestFit="1" customWidth="1"/>
    <col min="6415" max="6415" width="9.140625" style="4"/>
    <col min="6416" max="6417" width="9.7109375" style="4" bestFit="1" customWidth="1"/>
    <col min="6418" max="6656" width="9.140625" style="4"/>
    <col min="6657" max="6658" width="41.7109375" style="4" customWidth="1"/>
    <col min="6659" max="6660" width="16.7109375" style="4" customWidth="1"/>
    <col min="6661" max="6666" width="0" style="4" hidden="1" customWidth="1"/>
    <col min="6667" max="6667" width="1.7109375" style="4" customWidth="1"/>
    <col min="6668" max="6668" width="13.42578125" style="4" bestFit="1" customWidth="1"/>
    <col min="6669" max="6669" width="1.7109375" style="4" customWidth="1"/>
    <col min="6670" max="6670" width="14.85546875" style="4" bestFit="1" customWidth="1"/>
    <col min="6671" max="6671" width="9.140625" style="4"/>
    <col min="6672" max="6673" width="9.7109375" style="4" bestFit="1" customWidth="1"/>
    <col min="6674" max="6912" width="9.140625" style="4"/>
    <col min="6913" max="6914" width="41.7109375" style="4" customWidth="1"/>
    <col min="6915" max="6916" width="16.7109375" style="4" customWidth="1"/>
    <col min="6917" max="6922" width="0" style="4" hidden="1" customWidth="1"/>
    <col min="6923" max="6923" width="1.7109375" style="4" customWidth="1"/>
    <col min="6924" max="6924" width="13.42578125" style="4" bestFit="1" customWidth="1"/>
    <col min="6925" max="6925" width="1.7109375" style="4" customWidth="1"/>
    <col min="6926" max="6926" width="14.85546875" style="4" bestFit="1" customWidth="1"/>
    <col min="6927" max="6927" width="9.140625" style="4"/>
    <col min="6928" max="6929" width="9.7109375" style="4" bestFit="1" customWidth="1"/>
    <col min="6930" max="7168" width="9.140625" style="4"/>
    <col min="7169" max="7170" width="41.7109375" style="4" customWidth="1"/>
    <col min="7171" max="7172" width="16.7109375" style="4" customWidth="1"/>
    <col min="7173" max="7178" width="0" style="4" hidden="1" customWidth="1"/>
    <col min="7179" max="7179" width="1.7109375" style="4" customWidth="1"/>
    <col min="7180" max="7180" width="13.42578125" style="4" bestFit="1" customWidth="1"/>
    <col min="7181" max="7181" width="1.7109375" style="4" customWidth="1"/>
    <col min="7182" max="7182" width="14.85546875" style="4" bestFit="1" customWidth="1"/>
    <col min="7183" max="7183" width="9.140625" style="4"/>
    <col min="7184" max="7185" width="9.7109375" style="4" bestFit="1" customWidth="1"/>
    <col min="7186" max="7424" width="9.140625" style="4"/>
    <col min="7425" max="7426" width="41.7109375" style="4" customWidth="1"/>
    <col min="7427" max="7428" width="16.7109375" style="4" customWidth="1"/>
    <col min="7429" max="7434" width="0" style="4" hidden="1" customWidth="1"/>
    <col min="7435" max="7435" width="1.7109375" style="4" customWidth="1"/>
    <col min="7436" max="7436" width="13.42578125" style="4" bestFit="1" customWidth="1"/>
    <col min="7437" max="7437" width="1.7109375" style="4" customWidth="1"/>
    <col min="7438" max="7438" width="14.85546875" style="4" bestFit="1" customWidth="1"/>
    <col min="7439" max="7439" width="9.140625" style="4"/>
    <col min="7440" max="7441" width="9.7109375" style="4" bestFit="1" customWidth="1"/>
    <col min="7442" max="7680" width="9.140625" style="4"/>
    <col min="7681" max="7682" width="41.7109375" style="4" customWidth="1"/>
    <col min="7683" max="7684" width="16.7109375" style="4" customWidth="1"/>
    <col min="7685" max="7690" width="0" style="4" hidden="1" customWidth="1"/>
    <col min="7691" max="7691" width="1.7109375" style="4" customWidth="1"/>
    <col min="7692" max="7692" width="13.42578125" style="4" bestFit="1" customWidth="1"/>
    <col min="7693" max="7693" width="1.7109375" style="4" customWidth="1"/>
    <col min="7694" max="7694" width="14.85546875" style="4" bestFit="1" customWidth="1"/>
    <col min="7695" max="7695" width="9.140625" style="4"/>
    <col min="7696" max="7697" width="9.7109375" style="4" bestFit="1" customWidth="1"/>
    <col min="7698" max="7936" width="9.140625" style="4"/>
    <col min="7937" max="7938" width="41.7109375" style="4" customWidth="1"/>
    <col min="7939" max="7940" width="16.7109375" style="4" customWidth="1"/>
    <col min="7941" max="7946" width="0" style="4" hidden="1" customWidth="1"/>
    <col min="7947" max="7947" width="1.7109375" style="4" customWidth="1"/>
    <col min="7948" max="7948" width="13.42578125" style="4" bestFit="1" customWidth="1"/>
    <col min="7949" max="7949" width="1.7109375" style="4" customWidth="1"/>
    <col min="7950" max="7950" width="14.85546875" style="4" bestFit="1" customWidth="1"/>
    <col min="7951" max="7951" width="9.140625" style="4"/>
    <col min="7952" max="7953" width="9.7109375" style="4" bestFit="1" customWidth="1"/>
    <col min="7954" max="8192" width="9.140625" style="4"/>
    <col min="8193" max="8194" width="41.7109375" style="4" customWidth="1"/>
    <col min="8195" max="8196" width="16.7109375" style="4" customWidth="1"/>
    <col min="8197" max="8202" width="0" style="4" hidden="1" customWidth="1"/>
    <col min="8203" max="8203" width="1.7109375" style="4" customWidth="1"/>
    <col min="8204" max="8204" width="13.42578125" style="4" bestFit="1" customWidth="1"/>
    <col min="8205" max="8205" width="1.7109375" style="4" customWidth="1"/>
    <col min="8206" max="8206" width="14.85546875" style="4" bestFit="1" customWidth="1"/>
    <col min="8207" max="8207" width="9.140625" style="4"/>
    <col min="8208" max="8209" width="9.7109375" style="4" bestFit="1" customWidth="1"/>
    <col min="8210" max="8448" width="9.140625" style="4"/>
    <col min="8449" max="8450" width="41.7109375" style="4" customWidth="1"/>
    <col min="8451" max="8452" width="16.7109375" style="4" customWidth="1"/>
    <col min="8453" max="8458" width="0" style="4" hidden="1" customWidth="1"/>
    <col min="8459" max="8459" width="1.7109375" style="4" customWidth="1"/>
    <col min="8460" max="8460" width="13.42578125" style="4" bestFit="1" customWidth="1"/>
    <col min="8461" max="8461" width="1.7109375" style="4" customWidth="1"/>
    <col min="8462" max="8462" width="14.85546875" style="4" bestFit="1" customWidth="1"/>
    <col min="8463" max="8463" width="9.140625" style="4"/>
    <col min="8464" max="8465" width="9.7109375" style="4" bestFit="1" customWidth="1"/>
    <col min="8466" max="8704" width="9.140625" style="4"/>
    <col min="8705" max="8706" width="41.7109375" style="4" customWidth="1"/>
    <col min="8707" max="8708" width="16.7109375" style="4" customWidth="1"/>
    <col min="8709" max="8714" width="0" style="4" hidden="1" customWidth="1"/>
    <col min="8715" max="8715" width="1.7109375" style="4" customWidth="1"/>
    <col min="8716" max="8716" width="13.42578125" style="4" bestFit="1" customWidth="1"/>
    <col min="8717" max="8717" width="1.7109375" style="4" customWidth="1"/>
    <col min="8718" max="8718" width="14.85546875" style="4" bestFit="1" customWidth="1"/>
    <col min="8719" max="8719" width="9.140625" style="4"/>
    <col min="8720" max="8721" width="9.7109375" style="4" bestFit="1" customWidth="1"/>
    <col min="8722" max="8960" width="9.140625" style="4"/>
    <col min="8961" max="8962" width="41.7109375" style="4" customWidth="1"/>
    <col min="8963" max="8964" width="16.7109375" style="4" customWidth="1"/>
    <col min="8965" max="8970" width="0" style="4" hidden="1" customWidth="1"/>
    <col min="8971" max="8971" width="1.7109375" style="4" customWidth="1"/>
    <col min="8972" max="8972" width="13.42578125" style="4" bestFit="1" customWidth="1"/>
    <col min="8973" max="8973" width="1.7109375" style="4" customWidth="1"/>
    <col min="8974" max="8974" width="14.85546875" style="4" bestFit="1" customWidth="1"/>
    <col min="8975" max="8975" width="9.140625" style="4"/>
    <col min="8976" max="8977" width="9.7109375" style="4" bestFit="1" customWidth="1"/>
    <col min="8978" max="9216" width="9.140625" style="4"/>
    <col min="9217" max="9218" width="41.7109375" style="4" customWidth="1"/>
    <col min="9219" max="9220" width="16.7109375" style="4" customWidth="1"/>
    <col min="9221" max="9226" width="0" style="4" hidden="1" customWidth="1"/>
    <col min="9227" max="9227" width="1.7109375" style="4" customWidth="1"/>
    <col min="9228" max="9228" width="13.42578125" style="4" bestFit="1" customWidth="1"/>
    <col min="9229" max="9229" width="1.7109375" style="4" customWidth="1"/>
    <col min="9230" max="9230" width="14.85546875" style="4" bestFit="1" customWidth="1"/>
    <col min="9231" max="9231" width="9.140625" style="4"/>
    <col min="9232" max="9233" width="9.7109375" style="4" bestFit="1" customWidth="1"/>
    <col min="9234" max="9472" width="9.140625" style="4"/>
    <col min="9473" max="9474" width="41.7109375" style="4" customWidth="1"/>
    <col min="9475" max="9476" width="16.7109375" style="4" customWidth="1"/>
    <col min="9477" max="9482" width="0" style="4" hidden="1" customWidth="1"/>
    <col min="9483" max="9483" width="1.7109375" style="4" customWidth="1"/>
    <col min="9484" max="9484" width="13.42578125" style="4" bestFit="1" customWidth="1"/>
    <col min="9485" max="9485" width="1.7109375" style="4" customWidth="1"/>
    <col min="9486" max="9486" width="14.85546875" style="4" bestFit="1" customWidth="1"/>
    <col min="9487" max="9487" width="9.140625" style="4"/>
    <col min="9488" max="9489" width="9.7109375" style="4" bestFit="1" customWidth="1"/>
    <col min="9490" max="9728" width="9.140625" style="4"/>
    <col min="9729" max="9730" width="41.7109375" style="4" customWidth="1"/>
    <col min="9731" max="9732" width="16.7109375" style="4" customWidth="1"/>
    <col min="9733" max="9738" width="0" style="4" hidden="1" customWidth="1"/>
    <col min="9739" max="9739" width="1.7109375" style="4" customWidth="1"/>
    <col min="9740" max="9740" width="13.42578125" style="4" bestFit="1" customWidth="1"/>
    <col min="9741" max="9741" width="1.7109375" style="4" customWidth="1"/>
    <col min="9742" max="9742" width="14.85546875" style="4" bestFit="1" customWidth="1"/>
    <col min="9743" max="9743" width="9.140625" style="4"/>
    <col min="9744" max="9745" width="9.7109375" style="4" bestFit="1" customWidth="1"/>
    <col min="9746" max="9984" width="9.140625" style="4"/>
    <col min="9985" max="9986" width="41.7109375" style="4" customWidth="1"/>
    <col min="9987" max="9988" width="16.7109375" style="4" customWidth="1"/>
    <col min="9989" max="9994" width="0" style="4" hidden="1" customWidth="1"/>
    <col min="9995" max="9995" width="1.7109375" style="4" customWidth="1"/>
    <col min="9996" max="9996" width="13.42578125" style="4" bestFit="1" customWidth="1"/>
    <col min="9997" max="9997" width="1.7109375" style="4" customWidth="1"/>
    <col min="9998" max="9998" width="14.85546875" style="4" bestFit="1" customWidth="1"/>
    <col min="9999" max="9999" width="9.140625" style="4"/>
    <col min="10000" max="10001" width="9.7109375" style="4" bestFit="1" customWidth="1"/>
    <col min="10002" max="10240" width="9.140625" style="4"/>
    <col min="10241" max="10242" width="41.7109375" style="4" customWidth="1"/>
    <col min="10243" max="10244" width="16.7109375" style="4" customWidth="1"/>
    <col min="10245" max="10250" width="0" style="4" hidden="1" customWidth="1"/>
    <col min="10251" max="10251" width="1.7109375" style="4" customWidth="1"/>
    <col min="10252" max="10252" width="13.42578125" style="4" bestFit="1" customWidth="1"/>
    <col min="10253" max="10253" width="1.7109375" style="4" customWidth="1"/>
    <col min="10254" max="10254" width="14.85546875" style="4" bestFit="1" customWidth="1"/>
    <col min="10255" max="10255" width="9.140625" style="4"/>
    <col min="10256" max="10257" width="9.7109375" style="4" bestFit="1" customWidth="1"/>
    <col min="10258" max="10496" width="9.140625" style="4"/>
    <col min="10497" max="10498" width="41.7109375" style="4" customWidth="1"/>
    <col min="10499" max="10500" width="16.7109375" style="4" customWidth="1"/>
    <col min="10501" max="10506" width="0" style="4" hidden="1" customWidth="1"/>
    <col min="10507" max="10507" width="1.7109375" style="4" customWidth="1"/>
    <col min="10508" max="10508" width="13.42578125" style="4" bestFit="1" customWidth="1"/>
    <col min="10509" max="10509" width="1.7109375" style="4" customWidth="1"/>
    <col min="10510" max="10510" width="14.85546875" style="4" bestFit="1" customWidth="1"/>
    <col min="10511" max="10511" width="9.140625" style="4"/>
    <col min="10512" max="10513" width="9.7109375" style="4" bestFit="1" customWidth="1"/>
    <col min="10514" max="10752" width="9.140625" style="4"/>
    <col min="10753" max="10754" width="41.7109375" style="4" customWidth="1"/>
    <col min="10755" max="10756" width="16.7109375" style="4" customWidth="1"/>
    <col min="10757" max="10762" width="0" style="4" hidden="1" customWidth="1"/>
    <col min="10763" max="10763" width="1.7109375" style="4" customWidth="1"/>
    <col min="10764" max="10764" width="13.42578125" style="4" bestFit="1" customWidth="1"/>
    <col min="10765" max="10765" width="1.7109375" style="4" customWidth="1"/>
    <col min="10766" max="10766" width="14.85546875" style="4" bestFit="1" customWidth="1"/>
    <col min="10767" max="10767" width="9.140625" style="4"/>
    <col min="10768" max="10769" width="9.7109375" style="4" bestFit="1" customWidth="1"/>
    <col min="10770" max="11008" width="9.140625" style="4"/>
    <col min="11009" max="11010" width="41.7109375" style="4" customWidth="1"/>
    <col min="11011" max="11012" width="16.7109375" style="4" customWidth="1"/>
    <col min="11013" max="11018" width="0" style="4" hidden="1" customWidth="1"/>
    <col min="11019" max="11019" width="1.7109375" style="4" customWidth="1"/>
    <col min="11020" max="11020" width="13.42578125" style="4" bestFit="1" customWidth="1"/>
    <col min="11021" max="11021" width="1.7109375" style="4" customWidth="1"/>
    <col min="11022" max="11022" width="14.85546875" style="4" bestFit="1" customWidth="1"/>
    <col min="11023" max="11023" width="9.140625" style="4"/>
    <col min="11024" max="11025" width="9.7109375" style="4" bestFit="1" customWidth="1"/>
    <col min="11026" max="11264" width="9.140625" style="4"/>
    <col min="11265" max="11266" width="41.7109375" style="4" customWidth="1"/>
    <col min="11267" max="11268" width="16.7109375" style="4" customWidth="1"/>
    <col min="11269" max="11274" width="0" style="4" hidden="1" customWidth="1"/>
    <col min="11275" max="11275" width="1.7109375" style="4" customWidth="1"/>
    <col min="11276" max="11276" width="13.42578125" style="4" bestFit="1" customWidth="1"/>
    <col min="11277" max="11277" width="1.7109375" style="4" customWidth="1"/>
    <col min="11278" max="11278" width="14.85546875" style="4" bestFit="1" customWidth="1"/>
    <col min="11279" max="11279" width="9.140625" style="4"/>
    <col min="11280" max="11281" width="9.7109375" style="4" bestFit="1" customWidth="1"/>
    <col min="11282" max="11520" width="9.140625" style="4"/>
    <col min="11521" max="11522" width="41.7109375" style="4" customWidth="1"/>
    <col min="11523" max="11524" width="16.7109375" style="4" customWidth="1"/>
    <col min="11525" max="11530" width="0" style="4" hidden="1" customWidth="1"/>
    <col min="11531" max="11531" width="1.7109375" style="4" customWidth="1"/>
    <col min="11532" max="11532" width="13.42578125" style="4" bestFit="1" customWidth="1"/>
    <col min="11533" max="11533" width="1.7109375" style="4" customWidth="1"/>
    <col min="11534" max="11534" width="14.85546875" style="4" bestFit="1" customWidth="1"/>
    <col min="11535" max="11535" width="9.140625" style="4"/>
    <col min="11536" max="11537" width="9.7109375" style="4" bestFit="1" customWidth="1"/>
    <col min="11538" max="11776" width="9.140625" style="4"/>
    <col min="11777" max="11778" width="41.7109375" style="4" customWidth="1"/>
    <col min="11779" max="11780" width="16.7109375" style="4" customWidth="1"/>
    <col min="11781" max="11786" width="0" style="4" hidden="1" customWidth="1"/>
    <col min="11787" max="11787" width="1.7109375" style="4" customWidth="1"/>
    <col min="11788" max="11788" width="13.42578125" style="4" bestFit="1" customWidth="1"/>
    <col min="11789" max="11789" width="1.7109375" style="4" customWidth="1"/>
    <col min="11790" max="11790" width="14.85546875" style="4" bestFit="1" customWidth="1"/>
    <col min="11791" max="11791" width="9.140625" style="4"/>
    <col min="11792" max="11793" width="9.7109375" style="4" bestFit="1" customWidth="1"/>
    <col min="11794" max="12032" width="9.140625" style="4"/>
    <col min="12033" max="12034" width="41.7109375" style="4" customWidth="1"/>
    <col min="12035" max="12036" width="16.7109375" style="4" customWidth="1"/>
    <col min="12037" max="12042" width="0" style="4" hidden="1" customWidth="1"/>
    <col min="12043" max="12043" width="1.7109375" style="4" customWidth="1"/>
    <col min="12044" max="12044" width="13.42578125" style="4" bestFit="1" customWidth="1"/>
    <col min="12045" max="12045" width="1.7109375" style="4" customWidth="1"/>
    <col min="12046" max="12046" width="14.85546875" style="4" bestFit="1" customWidth="1"/>
    <col min="12047" max="12047" width="9.140625" style="4"/>
    <col min="12048" max="12049" width="9.7109375" style="4" bestFit="1" customWidth="1"/>
    <col min="12050" max="12288" width="9.140625" style="4"/>
    <col min="12289" max="12290" width="41.7109375" style="4" customWidth="1"/>
    <col min="12291" max="12292" width="16.7109375" style="4" customWidth="1"/>
    <col min="12293" max="12298" width="0" style="4" hidden="1" customWidth="1"/>
    <col min="12299" max="12299" width="1.7109375" style="4" customWidth="1"/>
    <col min="12300" max="12300" width="13.42578125" style="4" bestFit="1" customWidth="1"/>
    <col min="12301" max="12301" width="1.7109375" style="4" customWidth="1"/>
    <col min="12302" max="12302" width="14.85546875" style="4" bestFit="1" customWidth="1"/>
    <col min="12303" max="12303" width="9.140625" style="4"/>
    <col min="12304" max="12305" width="9.7109375" style="4" bestFit="1" customWidth="1"/>
    <col min="12306" max="12544" width="9.140625" style="4"/>
    <col min="12545" max="12546" width="41.7109375" style="4" customWidth="1"/>
    <col min="12547" max="12548" width="16.7109375" style="4" customWidth="1"/>
    <col min="12549" max="12554" width="0" style="4" hidden="1" customWidth="1"/>
    <col min="12555" max="12555" width="1.7109375" style="4" customWidth="1"/>
    <col min="12556" max="12556" width="13.42578125" style="4" bestFit="1" customWidth="1"/>
    <col min="12557" max="12557" width="1.7109375" style="4" customWidth="1"/>
    <col min="12558" max="12558" width="14.85546875" style="4" bestFit="1" customWidth="1"/>
    <col min="12559" max="12559" width="9.140625" style="4"/>
    <col min="12560" max="12561" width="9.7109375" style="4" bestFit="1" customWidth="1"/>
    <col min="12562" max="12800" width="9.140625" style="4"/>
    <col min="12801" max="12802" width="41.7109375" style="4" customWidth="1"/>
    <col min="12803" max="12804" width="16.7109375" style="4" customWidth="1"/>
    <col min="12805" max="12810" width="0" style="4" hidden="1" customWidth="1"/>
    <col min="12811" max="12811" width="1.7109375" style="4" customWidth="1"/>
    <col min="12812" max="12812" width="13.42578125" style="4" bestFit="1" customWidth="1"/>
    <col min="12813" max="12813" width="1.7109375" style="4" customWidth="1"/>
    <col min="12814" max="12814" width="14.85546875" style="4" bestFit="1" customWidth="1"/>
    <col min="12815" max="12815" width="9.140625" style="4"/>
    <col min="12816" max="12817" width="9.7109375" style="4" bestFit="1" customWidth="1"/>
    <col min="12818" max="13056" width="9.140625" style="4"/>
    <col min="13057" max="13058" width="41.7109375" style="4" customWidth="1"/>
    <col min="13059" max="13060" width="16.7109375" style="4" customWidth="1"/>
    <col min="13061" max="13066" width="0" style="4" hidden="1" customWidth="1"/>
    <col min="13067" max="13067" width="1.7109375" style="4" customWidth="1"/>
    <col min="13068" max="13068" width="13.42578125" style="4" bestFit="1" customWidth="1"/>
    <col min="13069" max="13069" width="1.7109375" style="4" customWidth="1"/>
    <col min="13070" max="13070" width="14.85546875" style="4" bestFit="1" customWidth="1"/>
    <col min="13071" max="13071" width="9.140625" style="4"/>
    <col min="13072" max="13073" width="9.7109375" style="4" bestFit="1" customWidth="1"/>
    <col min="13074" max="13312" width="9.140625" style="4"/>
    <col min="13313" max="13314" width="41.7109375" style="4" customWidth="1"/>
    <col min="13315" max="13316" width="16.7109375" style="4" customWidth="1"/>
    <col min="13317" max="13322" width="0" style="4" hidden="1" customWidth="1"/>
    <col min="13323" max="13323" width="1.7109375" style="4" customWidth="1"/>
    <col min="13324" max="13324" width="13.42578125" style="4" bestFit="1" customWidth="1"/>
    <col min="13325" max="13325" width="1.7109375" style="4" customWidth="1"/>
    <col min="13326" max="13326" width="14.85546875" style="4" bestFit="1" customWidth="1"/>
    <col min="13327" max="13327" width="9.140625" style="4"/>
    <col min="13328" max="13329" width="9.7109375" style="4" bestFit="1" customWidth="1"/>
    <col min="13330" max="13568" width="9.140625" style="4"/>
    <col min="13569" max="13570" width="41.7109375" style="4" customWidth="1"/>
    <col min="13571" max="13572" width="16.7109375" style="4" customWidth="1"/>
    <col min="13573" max="13578" width="0" style="4" hidden="1" customWidth="1"/>
    <col min="13579" max="13579" width="1.7109375" style="4" customWidth="1"/>
    <col min="13580" max="13580" width="13.42578125" style="4" bestFit="1" customWidth="1"/>
    <col min="13581" max="13581" width="1.7109375" style="4" customWidth="1"/>
    <col min="13582" max="13582" width="14.85546875" style="4" bestFit="1" customWidth="1"/>
    <col min="13583" max="13583" width="9.140625" style="4"/>
    <col min="13584" max="13585" width="9.7109375" style="4" bestFit="1" customWidth="1"/>
    <col min="13586" max="13824" width="9.140625" style="4"/>
    <col min="13825" max="13826" width="41.7109375" style="4" customWidth="1"/>
    <col min="13827" max="13828" width="16.7109375" style="4" customWidth="1"/>
    <col min="13829" max="13834" width="0" style="4" hidden="1" customWidth="1"/>
    <col min="13835" max="13835" width="1.7109375" style="4" customWidth="1"/>
    <col min="13836" max="13836" width="13.42578125" style="4" bestFit="1" customWidth="1"/>
    <col min="13837" max="13837" width="1.7109375" style="4" customWidth="1"/>
    <col min="13838" max="13838" width="14.85546875" style="4" bestFit="1" customWidth="1"/>
    <col min="13839" max="13839" width="9.140625" style="4"/>
    <col min="13840" max="13841" width="9.7109375" style="4" bestFit="1" customWidth="1"/>
    <col min="13842" max="14080" width="9.140625" style="4"/>
    <col min="14081" max="14082" width="41.7109375" style="4" customWidth="1"/>
    <col min="14083" max="14084" width="16.7109375" style="4" customWidth="1"/>
    <col min="14085" max="14090" width="0" style="4" hidden="1" customWidth="1"/>
    <col min="14091" max="14091" width="1.7109375" style="4" customWidth="1"/>
    <col min="14092" max="14092" width="13.42578125" style="4" bestFit="1" customWidth="1"/>
    <col min="14093" max="14093" width="1.7109375" style="4" customWidth="1"/>
    <col min="14094" max="14094" width="14.85546875" style="4" bestFit="1" customWidth="1"/>
    <col min="14095" max="14095" width="9.140625" style="4"/>
    <col min="14096" max="14097" width="9.7109375" style="4" bestFit="1" customWidth="1"/>
    <col min="14098" max="14336" width="9.140625" style="4"/>
    <col min="14337" max="14338" width="41.7109375" style="4" customWidth="1"/>
    <col min="14339" max="14340" width="16.7109375" style="4" customWidth="1"/>
    <col min="14341" max="14346" width="0" style="4" hidden="1" customWidth="1"/>
    <col min="14347" max="14347" width="1.7109375" style="4" customWidth="1"/>
    <col min="14348" max="14348" width="13.42578125" style="4" bestFit="1" customWidth="1"/>
    <col min="14349" max="14349" width="1.7109375" style="4" customWidth="1"/>
    <col min="14350" max="14350" width="14.85546875" style="4" bestFit="1" customWidth="1"/>
    <col min="14351" max="14351" width="9.140625" style="4"/>
    <col min="14352" max="14353" width="9.7109375" style="4" bestFit="1" customWidth="1"/>
    <col min="14354" max="14592" width="9.140625" style="4"/>
    <col min="14593" max="14594" width="41.7109375" style="4" customWidth="1"/>
    <col min="14595" max="14596" width="16.7109375" style="4" customWidth="1"/>
    <col min="14597" max="14602" width="0" style="4" hidden="1" customWidth="1"/>
    <col min="14603" max="14603" width="1.7109375" style="4" customWidth="1"/>
    <col min="14604" max="14604" width="13.42578125" style="4" bestFit="1" customWidth="1"/>
    <col min="14605" max="14605" width="1.7109375" style="4" customWidth="1"/>
    <col min="14606" max="14606" width="14.85546875" style="4" bestFit="1" customWidth="1"/>
    <col min="14607" max="14607" width="9.140625" style="4"/>
    <col min="14608" max="14609" width="9.7109375" style="4" bestFit="1" customWidth="1"/>
    <col min="14610" max="14848" width="9.140625" style="4"/>
    <col min="14849" max="14850" width="41.7109375" style="4" customWidth="1"/>
    <col min="14851" max="14852" width="16.7109375" style="4" customWidth="1"/>
    <col min="14853" max="14858" width="0" style="4" hidden="1" customWidth="1"/>
    <col min="14859" max="14859" width="1.7109375" style="4" customWidth="1"/>
    <col min="14860" max="14860" width="13.42578125" style="4" bestFit="1" customWidth="1"/>
    <col min="14861" max="14861" width="1.7109375" style="4" customWidth="1"/>
    <col min="14862" max="14862" width="14.85546875" style="4" bestFit="1" customWidth="1"/>
    <col min="14863" max="14863" width="9.140625" style="4"/>
    <col min="14864" max="14865" width="9.7109375" style="4" bestFit="1" customWidth="1"/>
    <col min="14866" max="15104" width="9.140625" style="4"/>
    <col min="15105" max="15106" width="41.7109375" style="4" customWidth="1"/>
    <col min="15107" max="15108" width="16.7109375" style="4" customWidth="1"/>
    <col min="15109" max="15114" width="0" style="4" hidden="1" customWidth="1"/>
    <col min="15115" max="15115" width="1.7109375" style="4" customWidth="1"/>
    <col min="15116" max="15116" width="13.42578125" style="4" bestFit="1" customWidth="1"/>
    <col min="15117" max="15117" width="1.7109375" style="4" customWidth="1"/>
    <col min="15118" max="15118" width="14.85546875" style="4" bestFit="1" customWidth="1"/>
    <col min="15119" max="15119" width="9.140625" style="4"/>
    <col min="15120" max="15121" width="9.7109375" style="4" bestFit="1" customWidth="1"/>
    <col min="15122" max="15360" width="9.140625" style="4"/>
    <col min="15361" max="15362" width="41.7109375" style="4" customWidth="1"/>
    <col min="15363" max="15364" width="16.7109375" style="4" customWidth="1"/>
    <col min="15365" max="15370" width="0" style="4" hidden="1" customWidth="1"/>
    <col min="15371" max="15371" width="1.7109375" style="4" customWidth="1"/>
    <col min="15372" max="15372" width="13.42578125" style="4" bestFit="1" customWidth="1"/>
    <col min="15373" max="15373" width="1.7109375" style="4" customWidth="1"/>
    <col min="15374" max="15374" width="14.85546875" style="4" bestFit="1" customWidth="1"/>
    <col min="15375" max="15375" width="9.140625" style="4"/>
    <col min="15376" max="15377" width="9.7109375" style="4" bestFit="1" customWidth="1"/>
    <col min="15378" max="15616" width="9.140625" style="4"/>
    <col min="15617" max="15618" width="41.7109375" style="4" customWidth="1"/>
    <col min="15619" max="15620" width="16.7109375" style="4" customWidth="1"/>
    <col min="15621" max="15626" width="0" style="4" hidden="1" customWidth="1"/>
    <col min="15627" max="15627" width="1.7109375" style="4" customWidth="1"/>
    <col min="15628" max="15628" width="13.42578125" style="4" bestFit="1" customWidth="1"/>
    <col min="15629" max="15629" width="1.7109375" style="4" customWidth="1"/>
    <col min="15630" max="15630" width="14.85546875" style="4" bestFit="1" customWidth="1"/>
    <col min="15631" max="15631" width="9.140625" style="4"/>
    <col min="15632" max="15633" width="9.7109375" style="4" bestFit="1" customWidth="1"/>
    <col min="15634" max="15872" width="9.140625" style="4"/>
    <col min="15873" max="15874" width="41.7109375" style="4" customWidth="1"/>
    <col min="15875" max="15876" width="16.7109375" style="4" customWidth="1"/>
    <col min="15877" max="15882" width="0" style="4" hidden="1" customWidth="1"/>
    <col min="15883" max="15883" width="1.7109375" style="4" customWidth="1"/>
    <col min="15884" max="15884" width="13.42578125" style="4" bestFit="1" customWidth="1"/>
    <col min="15885" max="15885" width="1.7109375" style="4" customWidth="1"/>
    <col min="15886" max="15886" width="14.85546875" style="4" bestFit="1" customWidth="1"/>
    <col min="15887" max="15887" width="9.140625" style="4"/>
    <col min="15888" max="15889" width="9.7109375" style="4" bestFit="1" customWidth="1"/>
    <col min="15890" max="16128" width="9.140625" style="4"/>
    <col min="16129" max="16130" width="41.7109375" style="4" customWidth="1"/>
    <col min="16131" max="16132" width="16.7109375" style="4" customWidth="1"/>
    <col min="16133" max="16138" width="0" style="4" hidden="1" customWidth="1"/>
    <col min="16139" max="16139" width="1.7109375" style="4" customWidth="1"/>
    <col min="16140" max="16140" width="13.42578125" style="4" bestFit="1" customWidth="1"/>
    <col min="16141" max="16141" width="1.7109375" style="4" customWidth="1"/>
    <col min="16142" max="16142" width="14.85546875" style="4" bestFit="1" customWidth="1"/>
    <col min="16143" max="16143" width="9.140625" style="4"/>
    <col min="16144" max="16145" width="9.7109375" style="4" bestFit="1" customWidth="1"/>
    <col min="16146" max="16384" width="9.140625" style="4"/>
  </cols>
  <sheetData>
    <row r="1" spans="1:17" s="52" customFormat="1" ht="23.25">
      <c r="A1" s="2" t="s">
        <v>173</v>
      </c>
      <c r="B1" s="51"/>
      <c r="C1" s="51"/>
      <c r="D1" s="51"/>
      <c r="H1" s="53"/>
      <c r="I1" s="54"/>
      <c r="J1" s="55"/>
      <c r="L1" s="38"/>
      <c r="N1" s="38"/>
    </row>
    <row r="2" spans="1:17" s="52" customFormat="1" ht="18.75">
      <c r="H2" s="53"/>
      <c r="I2" s="54"/>
      <c r="J2" s="55"/>
      <c r="L2" s="38"/>
      <c r="N2" s="38"/>
    </row>
    <row r="3" spans="1:17" s="59" customFormat="1" ht="15.75">
      <c r="A3" s="56"/>
      <c r="B3" s="56"/>
      <c r="C3" s="57" t="s">
        <v>35</v>
      </c>
      <c r="D3" s="57" t="s">
        <v>36</v>
      </c>
      <c r="E3" s="58"/>
      <c r="F3" s="58"/>
      <c r="G3" s="58"/>
      <c r="H3" s="9"/>
      <c r="I3" s="9"/>
      <c r="J3" s="9"/>
    </row>
    <row r="4" spans="1:17" ht="15.75">
      <c r="A4" s="60" t="s">
        <v>174</v>
      </c>
      <c r="B4" s="60"/>
      <c r="C4" s="60"/>
      <c r="D4" s="60"/>
      <c r="E4" s="60"/>
      <c r="F4" s="26"/>
      <c r="G4" s="26"/>
      <c r="H4" s="26"/>
      <c r="I4" s="26"/>
      <c r="J4" s="26"/>
      <c r="K4" s="59"/>
      <c r="L4" s="59"/>
      <c r="M4" s="59"/>
      <c r="N4" s="59"/>
    </row>
    <row r="5" spans="1:17" ht="15.75">
      <c r="A5" s="59" t="s">
        <v>175</v>
      </c>
      <c r="B5" s="59"/>
      <c r="C5" s="26">
        <v>24241990</v>
      </c>
      <c r="D5" s="26">
        <v>19899214</v>
      </c>
      <c r="E5" s="26">
        <v>18322860761</v>
      </c>
      <c r="F5" s="26">
        <v>8680212490</v>
      </c>
      <c r="G5" s="26">
        <v>16744354432</v>
      </c>
      <c r="H5" s="26">
        <v>14912099124</v>
      </c>
      <c r="I5" s="26">
        <v>13512783642</v>
      </c>
      <c r="J5" s="26">
        <v>13194024878</v>
      </c>
      <c r="K5" s="59"/>
      <c r="L5" s="61">
        <f>-(C5-D5)/D5</f>
        <v>-0.21823856962390575</v>
      </c>
      <c r="M5" s="59"/>
      <c r="N5" s="62">
        <f>-C5+D5</f>
        <v>-4342776</v>
      </c>
    </row>
    <row r="6" spans="1:17" ht="15.75" hidden="1">
      <c r="A6" s="59" t="s">
        <v>176</v>
      </c>
      <c r="B6" s="59"/>
      <c r="C6" s="26"/>
      <c r="D6" s="26"/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59"/>
      <c r="L6" s="61" t="e">
        <f t="shared" ref="L6:L69" si="0">-(C6-D6)/D6</f>
        <v>#DIV/0!</v>
      </c>
      <c r="M6" s="59"/>
      <c r="N6" s="62">
        <f>D6-C6</f>
        <v>0</v>
      </c>
    </row>
    <row r="7" spans="1:17" ht="15.75" hidden="1">
      <c r="A7" s="59" t="s">
        <v>177</v>
      </c>
      <c r="B7" s="59"/>
      <c r="C7" s="26"/>
      <c r="D7" s="26"/>
      <c r="E7" s="26">
        <v>0</v>
      </c>
      <c r="F7" s="26">
        <v>0</v>
      </c>
      <c r="G7" s="26">
        <v>0</v>
      </c>
      <c r="H7" s="26">
        <v>0</v>
      </c>
      <c r="I7" s="26">
        <v>-40948600</v>
      </c>
      <c r="J7" s="26">
        <v>49800850</v>
      </c>
      <c r="K7" s="59"/>
      <c r="L7" s="61" t="e">
        <f t="shared" si="0"/>
        <v>#DIV/0!</v>
      </c>
      <c r="M7" s="59"/>
      <c r="N7" s="62">
        <f>D7-C7</f>
        <v>0</v>
      </c>
    </row>
    <row r="8" spans="1:17" ht="15.75" hidden="1">
      <c r="A8" s="59" t="s">
        <v>178</v>
      </c>
      <c r="B8" s="59"/>
      <c r="C8" s="26"/>
      <c r="D8" s="26"/>
      <c r="E8" s="26">
        <v>706805053</v>
      </c>
      <c r="F8" s="26">
        <f>250363054-9392853</f>
        <v>240970201</v>
      </c>
      <c r="G8" s="26">
        <v>1012731311</v>
      </c>
      <c r="H8" s="26">
        <v>187951844</v>
      </c>
      <c r="I8" s="26">
        <v>109247081</v>
      </c>
      <c r="J8" s="26">
        <v>0</v>
      </c>
      <c r="K8" s="59"/>
      <c r="L8" s="61" t="e">
        <f t="shared" si="0"/>
        <v>#DIV/0!</v>
      </c>
      <c r="M8" s="59"/>
      <c r="N8" s="62">
        <f>D8-C8</f>
        <v>0</v>
      </c>
    </row>
    <row r="9" spans="1:17" ht="15.75">
      <c r="A9" s="59" t="s">
        <v>179</v>
      </c>
      <c r="B9" s="59"/>
      <c r="C9" s="59"/>
      <c r="D9" s="59"/>
      <c r="E9" s="59"/>
      <c r="F9" s="26">
        <v>431528906</v>
      </c>
      <c r="G9" s="26">
        <v>649626740</v>
      </c>
      <c r="H9" s="26">
        <f>511670559+11400000</f>
        <v>523070559</v>
      </c>
      <c r="I9" s="26">
        <v>601547611</v>
      </c>
      <c r="J9" s="26">
        <f>634291542+20277159</f>
        <v>654568701</v>
      </c>
      <c r="K9" s="59"/>
      <c r="L9" s="61"/>
      <c r="M9" s="59"/>
      <c r="N9" s="62"/>
    </row>
    <row r="10" spans="1:17" ht="15.75">
      <c r="A10" s="59" t="s">
        <v>180</v>
      </c>
      <c r="B10" s="26"/>
      <c r="C10" s="26">
        <f>633874-C11</f>
        <v>482578</v>
      </c>
      <c r="D10" s="26">
        <f>727356-140224</f>
        <v>587132</v>
      </c>
      <c r="E10" s="26">
        <v>652691489</v>
      </c>
      <c r="F10" s="26"/>
      <c r="G10" s="26"/>
      <c r="H10" s="26"/>
      <c r="I10" s="26"/>
      <c r="J10" s="26"/>
      <c r="K10" s="59"/>
      <c r="L10" s="61">
        <f t="shared" si="0"/>
        <v>0.17807579896854539</v>
      </c>
      <c r="M10" s="59"/>
      <c r="N10" s="62">
        <f>-C10+D10</f>
        <v>104554</v>
      </c>
    </row>
    <row r="11" spans="1:17" ht="15.75">
      <c r="A11" s="59" t="s">
        <v>181</v>
      </c>
      <c r="B11" s="59"/>
      <c r="C11" s="26">
        <v>151296</v>
      </c>
      <c r="D11" s="26">
        <v>140224</v>
      </c>
      <c r="E11" s="26"/>
      <c r="F11" s="26"/>
      <c r="G11" s="26"/>
      <c r="H11" s="26"/>
      <c r="I11" s="26"/>
      <c r="J11" s="26"/>
      <c r="K11" s="59"/>
      <c r="L11" s="61">
        <f t="shared" si="0"/>
        <v>-7.8959379278868091E-2</v>
      </c>
      <c r="M11" s="59"/>
      <c r="N11" s="62">
        <f>-C11+D11</f>
        <v>-11072</v>
      </c>
      <c r="P11" s="5"/>
    </row>
    <row r="12" spans="1:17" ht="15.75">
      <c r="A12" s="56" t="s">
        <v>182</v>
      </c>
      <c r="B12" s="56"/>
      <c r="C12" s="63">
        <f>SUM(C10:C11)</f>
        <v>633874</v>
      </c>
      <c r="D12" s="63">
        <f>SUM(D10:D11)</f>
        <v>727356</v>
      </c>
      <c r="E12" s="26"/>
      <c r="F12" s="26"/>
      <c r="G12" s="26"/>
      <c r="H12" s="26"/>
      <c r="I12" s="26"/>
      <c r="J12" s="26"/>
      <c r="K12" s="59"/>
      <c r="L12" s="61">
        <f t="shared" si="0"/>
        <v>0.12852303411259411</v>
      </c>
      <c r="M12" s="59"/>
      <c r="N12" s="62">
        <f>-C12+D12</f>
        <v>93482</v>
      </c>
    </row>
    <row r="13" spans="1:17" ht="15.75">
      <c r="A13" s="64"/>
      <c r="B13" s="64" t="s">
        <v>183</v>
      </c>
      <c r="C13" s="64">
        <f>C5+C12</f>
        <v>24875864</v>
      </c>
      <c r="D13" s="64">
        <f>D5+D12</f>
        <v>20626570</v>
      </c>
      <c r="E13" s="64">
        <f t="shared" ref="E13:J13" si="1">SUM(E5:E12)</f>
        <v>19682357303</v>
      </c>
      <c r="F13" s="64">
        <f t="shared" si="1"/>
        <v>9352711597</v>
      </c>
      <c r="G13" s="64">
        <f t="shared" si="1"/>
        <v>18406712483</v>
      </c>
      <c r="H13" s="64">
        <f t="shared" si="1"/>
        <v>15623121527</v>
      </c>
      <c r="I13" s="64">
        <f t="shared" si="1"/>
        <v>14182629734</v>
      </c>
      <c r="J13" s="64">
        <f t="shared" si="1"/>
        <v>13898394429</v>
      </c>
      <c r="K13" s="59"/>
      <c r="L13" s="61">
        <f t="shared" si="0"/>
        <v>-0.20601069397384053</v>
      </c>
      <c r="M13" s="59"/>
      <c r="N13" s="62">
        <f>-C13+D13</f>
        <v>-4249294</v>
      </c>
      <c r="Q13" s="5"/>
    </row>
    <row r="14" spans="1:17" ht="6" customHeight="1">
      <c r="A14" s="59"/>
      <c r="B14" s="59"/>
      <c r="C14" s="26"/>
      <c r="D14" s="26"/>
      <c r="E14" s="26"/>
      <c r="F14" s="26"/>
      <c r="G14" s="26"/>
      <c r="H14" s="26"/>
      <c r="I14" s="26"/>
      <c r="J14" s="26"/>
      <c r="K14" s="59"/>
      <c r="L14" s="61"/>
      <c r="M14" s="59"/>
      <c r="N14" s="59"/>
    </row>
    <row r="15" spans="1:17" ht="15.75">
      <c r="A15" s="60" t="s">
        <v>184</v>
      </c>
      <c r="B15" s="60"/>
      <c r="C15" s="26"/>
      <c r="D15" s="26"/>
      <c r="E15" s="26"/>
      <c r="F15" s="26"/>
      <c r="G15" s="26"/>
      <c r="H15" s="26"/>
      <c r="I15" s="26"/>
      <c r="J15" s="26"/>
      <c r="K15" s="59"/>
      <c r="L15" s="61"/>
      <c r="M15" s="59"/>
      <c r="N15" s="59"/>
    </row>
    <row r="16" spans="1:17" ht="15.75">
      <c r="A16" s="59" t="s">
        <v>185</v>
      </c>
      <c r="B16" s="59"/>
      <c r="C16" s="26">
        <v>161295</v>
      </c>
      <c r="D16" s="26">
        <v>151245</v>
      </c>
      <c r="E16" s="26">
        <v>4428382329</v>
      </c>
      <c r="F16" s="26">
        <v>2244509833</v>
      </c>
      <c r="G16" s="26">
        <v>5058710571</v>
      </c>
      <c r="H16" s="26">
        <v>3499029589</v>
      </c>
      <c r="I16" s="26">
        <v>3236387550</v>
      </c>
      <c r="J16" s="26">
        <v>3118619803</v>
      </c>
      <c r="K16" s="26"/>
      <c r="L16" s="61">
        <f t="shared" si="0"/>
        <v>-6.6448477635624323E-2</v>
      </c>
      <c r="M16" s="59"/>
      <c r="N16" s="62">
        <f>-C16+D16</f>
        <v>-10050</v>
      </c>
    </row>
    <row r="17" spans="1:18" ht="15.75">
      <c r="A17" s="59" t="s">
        <v>186</v>
      </c>
      <c r="B17" s="59"/>
      <c r="C17" s="26">
        <v>15806253</v>
      </c>
      <c r="D17" s="26">
        <v>14082891</v>
      </c>
      <c r="E17" s="26">
        <v>5944413119</v>
      </c>
      <c r="F17" s="26">
        <v>2792387650</v>
      </c>
      <c r="G17" s="26">
        <f>5396601866-662784</f>
        <v>5395939082</v>
      </c>
      <c r="H17" s="26">
        <f>4111849081+795390376</f>
        <v>4907239457</v>
      </c>
      <c r="I17" s="26">
        <f>3696646325+331798787</f>
        <v>4028445112</v>
      </c>
      <c r="J17" s="26">
        <f>3822380064+190490430</f>
        <v>4012870494</v>
      </c>
      <c r="K17" s="59"/>
      <c r="L17" s="61">
        <f t="shared" si="0"/>
        <v>-0.12237274292615061</v>
      </c>
      <c r="M17" s="59"/>
      <c r="N17" s="62">
        <f t="shared" ref="N17:N39" si="2">-C17+D17</f>
        <v>-1723362</v>
      </c>
      <c r="R17" s="65"/>
    </row>
    <row r="18" spans="1:18" ht="15.75">
      <c r="A18" s="59" t="s">
        <v>187</v>
      </c>
      <c r="B18" s="59"/>
      <c r="C18" s="26">
        <v>462676</v>
      </c>
      <c r="D18" s="26">
        <v>281130</v>
      </c>
      <c r="E18" s="26">
        <v>2691611722</v>
      </c>
      <c r="F18" s="26">
        <v>1276967514</v>
      </c>
      <c r="G18" s="26">
        <v>2470551767</v>
      </c>
      <c r="H18" s="26">
        <v>2310661772</v>
      </c>
      <c r="I18" s="26">
        <v>2214791349</v>
      </c>
      <c r="J18" s="26">
        <v>4450245748</v>
      </c>
      <c r="K18" s="59"/>
      <c r="L18" s="61">
        <f t="shared" si="0"/>
        <v>-0.64577241845409594</v>
      </c>
      <c r="M18" s="59"/>
      <c r="N18" s="62">
        <f t="shared" si="2"/>
        <v>-181546</v>
      </c>
    </row>
    <row r="19" spans="1:18" ht="15.75">
      <c r="A19" s="59" t="s">
        <v>188</v>
      </c>
      <c r="B19" s="59"/>
      <c r="C19" s="26"/>
      <c r="D19" s="26"/>
      <c r="E19" s="26"/>
      <c r="F19" s="26"/>
      <c r="G19" s="26"/>
      <c r="H19" s="26"/>
      <c r="I19" s="26"/>
      <c r="J19" s="26"/>
      <c r="K19" s="59"/>
      <c r="L19" s="61" t="e">
        <f t="shared" si="0"/>
        <v>#DIV/0!</v>
      </c>
      <c r="M19" s="59"/>
      <c r="N19" s="62"/>
    </row>
    <row r="20" spans="1:18" ht="15.75">
      <c r="A20" s="59" t="s">
        <v>189</v>
      </c>
      <c r="B20" s="59"/>
      <c r="C20" s="26">
        <v>1673401</v>
      </c>
      <c r="D20" s="26">
        <v>1596075</v>
      </c>
      <c r="E20" s="26">
        <v>2564467005</v>
      </c>
      <c r="F20" s="26">
        <v>1278953743</v>
      </c>
      <c r="G20" s="26">
        <v>2462536401</v>
      </c>
      <c r="H20" s="26">
        <v>2269416065</v>
      </c>
      <c r="I20" s="26">
        <v>2118367840</v>
      </c>
      <c r="J20" s="26">
        <v>1836988751</v>
      </c>
      <c r="K20" s="59"/>
      <c r="L20" s="61">
        <f t="shared" si="0"/>
        <v>-4.8447598013877796E-2</v>
      </c>
      <c r="M20" s="59"/>
      <c r="N20" s="62">
        <f t="shared" si="2"/>
        <v>-77326</v>
      </c>
    </row>
    <row r="21" spans="1:18" ht="15.75">
      <c r="A21" s="59" t="s">
        <v>190</v>
      </c>
      <c r="B21" s="59"/>
      <c r="C21" s="26">
        <f>530474+4589</f>
        <v>535063</v>
      </c>
      <c r="D21" s="26">
        <f>513366+4530</f>
        <v>517896</v>
      </c>
      <c r="E21" s="26">
        <v>920361560</v>
      </c>
      <c r="F21" s="26">
        <v>478244716</v>
      </c>
      <c r="G21" s="26">
        <f>920733075+662784</f>
        <v>921395859</v>
      </c>
      <c r="H21" s="26">
        <v>847857003</v>
      </c>
      <c r="I21" s="26">
        <v>758603832</v>
      </c>
      <c r="J21" s="26">
        <v>816452030</v>
      </c>
      <c r="K21" s="59"/>
      <c r="L21" s="61">
        <f t="shared" si="0"/>
        <v>-3.3147581753865639E-2</v>
      </c>
      <c r="M21" s="59"/>
      <c r="N21" s="62">
        <f t="shared" si="2"/>
        <v>-17167</v>
      </c>
    </row>
    <row r="22" spans="1:18" ht="15.75">
      <c r="A22" s="59" t="s">
        <v>191</v>
      </c>
      <c r="B22" s="59"/>
      <c r="C22" s="26">
        <v>138882</v>
      </c>
      <c r="D22" s="26">
        <v>129052</v>
      </c>
      <c r="E22" s="26">
        <v>168279074</v>
      </c>
      <c r="F22" s="26">
        <v>83580631</v>
      </c>
      <c r="G22" s="26">
        <v>160127204</v>
      </c>
      <c r="H22" s="26">
        <v>145929119</v>
      </c>
      <c r="I22" s="26">
        <v>163303317</v>
      </c>
      <c r="J22" s="26">
        <v>115338516</v>
      </c>
      <c r="K22" s="59"/>
      <c r="L22" s="61">
        <f t="shared" si="0"/>
        <v>-7.6170845860583328E-2</v>
      </c>
      <c r="M22" s="59"/>
      <c r="N22" s="62">
        <f t="shared" si="2"/>
        <v>-9830</v>
      </c>
    </row>
    <row r="23" spans="1:18" ht="15.75" hidden="1">
      <c r="A23" s="59" t="s">
        <v>192</v>
      </c>
      <c r="B23" s="59"/>
      <c r="C23" s="26"/>
      <c r="D23" s="26"/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/>
      <c r="K23" s="59"/>
      <c r="L23" s="61" t="e">
        <f t="shared" si="0"/>
        <v>#DIV/0!</v>
      </c>
      <c r="M23" s="59"/>
      <c r="N23" s="62">
        <f t="shared" si="2"/>
        <v>0</v>
      </c>
    </row>
    <row r="24" spans="1:18" ht="15.75" hidden="1">
      <c r="A24" s="59" t="s">
        <v>193</v>
      </c>
      <c r="B24" s="59"/>
      <c r="C24" s="26"/>
      <c r="D24" s="26"/>
      <c r="E24" s="26">
        <v>31838893</v>
      </c>
      <c r="F24" s="26">
        <v>22142498</v>
      </c>
      <c r="G24" s="26">
        <v>23438184</v>
      </c>
      <c r="H24" s="26">
        <v>10495000</v>
      </c>
      <c r="I24" s="26">
        <v>210000</v>
      </c>
      <c r="J24" s="26"/>
      <c r="K24" s="59"/>
      <c r="L24" s="61" t="e">
        <f t="shared" si="0"/>
        <v>#DIV/0!</v>
      </c>
      <c r="M24" s="59"/>
      <c r="N24" s="62">
        <f t="shared" si="2"/>
        <v>0</v>
      </c>
    </row>
    <row r="25" spans="1:18" ht="15.75">
      <c r="A25" s="59" t="s">
        <v>194</v>
      </c>
      <c r="B25" s="60"/>
      <c r="C25" s="63">
        <f>SUM(C20:C24)</f>
        <v>2347346</v>
      </c>
      <c r="D25" s="63">
        <f>SUM(D20:D24)</f>
        <v>2243023</v>
      </c>
      <c r="E25" s="31">
        <f>SUM(E20:E24)</f>
        <v>3684946532</v>
      </c>
      <c r="F25" s="31">
        <f>SUM(F20:F24)</f>
        <v>1862921588</v>
      </c>
      <c r="G25" s="31">
        <f>SUM(G20:G24)</f>
        <v>3567497648</v>
      </c>
      <c r="H25" s="31">
        <f>H20+H21+H22+H23+H24</f>
        <v>3273697187</v>
      </c>
      <c r="I25" s="31">
        <f>I20+I21+I22+I23+I24</f>
        <v>3040484989</v>
      </c>
      <c r="J25" s="31">
        <f>J20+J21+J22+J23+J24</f>
        <v>2768779297</v>
      </c>
      <c r="K25" s="59"/>
      <c r="L25" s="61">
        <f t="shared" si="0"/>
        <v>-4.6510000120373263E-2</v>
      </c>
      <c r="M25" s="59"/>
      <c r="N25" s="62">
        <f t="shared" si="2"/>
        <v>-104323</v>
      </c>
    </row>
    <row r="26" spans="1:18" ht="15.75">
      <c r="A26" s="59" t="s">
        <v>195</v>
      </c>
      <c r="B26" s="59"/>
      <c r="C26" s="26"/>
      <c r="D26" s="26"/>
      <c r="E26" s="26"/>
      <c r="F26" s="26"/>
      <c r="G26" s="26"/>
      <c r="H26" s="26"/>
      <c r="I26" s="26"/>
      <c r="J26" s="26"/>
      <c r="K26" s="59"/>
      <c r="L26" s="61" t="e">
        <f t="shared" si="0"/>
        <v>#DIV/0!</v>
      </c>
      <c r="M26" s="59"/>
      <c r="N26" s="62"/>
    </row>
    <row r="27" spans="1:18" ht="15.75">
      <c r="A27" s="59" t="s">
        <v>196</v>
      </c>
      <c r="B27" s="59"/>
      <c r="C27" s="26">
        <v>1099546</v>
      </c>
      <c r="D27" s="26">
        <v>1022139</v>
      </c>
      <c r="E27" s="26">
        <v>62964358</v>
      </c>
      <c r="F27" s="26">
        <v>30067881</v>
      </c>
      <c r="G27" s="26">
        <v>71877478</v>
      </c>
      <c r="H27" s="26">
        <v>64457998</v>
      </c>
      <c r="I27" s="26">
        <v>112697339</v>
      </c>
      <c r="J27" s="26">
        <v>71293730</v>
      </c>
      <c r="K27" s="59"/>
      <c r="L27" s="61">
        <f t="shared" si="0"/>
        <v>-7.5730404573154927E-2</v>
      </c>
      <c r="M27" s="59"/>
      <c r="N27" s="62">
        <f t="shared" si="2"/>
        <v>-77407</v>
      </c>
    </row>
    <row r="28" spans="1:18" ht="15.75">
      <c r="A28" s="59" t="s">
        <v>197</v>
      </c>
      <c r="B28" s="59"/>
      <c r="C28" s="26">
        <v>648831</v>
      </c>
      <c r="D28" s="26">
        <v>643664</v>
      </c>
      <c r="E28" s="26">
        <v>1092470185</v>
      </c>
      <c r="F28" s="26">
        <v>258482266</v>
      </c>
      <c r="G28" s="26">
        <v>850882726</v>
      </c>
      <c r="H28" s="26">
        <f>355785511+225619836</f>
        <v>581405347</v>
      </c>
      <c r="I28" s="26">
        <v>389261212</v>
      </c>
      <c r="J28" s="26">
        <v>157154140</v>
      </c>
      <c r="K28" s="59"/>
      <c r="L28" s="61">
        <f t="shared" si="0"/>
        <v>-8.0274801759924429E-3</v>
      </c>
      <c r="M28" s="59"/>
      <c r="N28" s="62">
        <f t="shared" si="2"/>
        <v>-5167</v>
      </c>
      <c r="P28" s="5"/>
    </row>
    <row r="29" spans="1:18" ht="15.75" hidden="1">
      <c r="A29" s="59" t="s">
        <v>198</v>
      </c>
      <c r="B29" s="59"/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2006250</v>
      </c>
      <c r="J29" s="26"/>
      <c r="K29" s="59"/>
      <c r="L29" s="61" t="e">
        <f t="shared" si="0"/>
        <v>#DIV/0!</v>
      </c>
      <c r="M29" s="59"/>
      <c r="N29" s="62">
        <f t="shared" si="2"/>
        <v>0</v>
      </c>
    </row>
    <row r="30" spans="1:18" ht="15.75">
      <c r="A30" s="59" t="s">
        <v>199</v>
      </c>
      <c r="B30" s="59"/>
      <c r="C30" s="26">
        <v>189182</v>
      </c>
      <c r="D30" s="26">
        <v>125256</v>
      </c>
      <c r="E30" s="26">
        <v>198000000</v>
      </c>
      <c r="F30" s="26">
        <v>90000000</v>
      </c>
      <c r="G30" s="26">
        <v>73000000</v>
      </c>
      <c r="H30" s="59"/>
      <c r="I30" s="59"/>
      <c r="J30" s="59"/>
      <c r="K30" s="59"/>
      <c r="L30" s="61">
        <f t="shared" si="0"/>
        <v>-0.5103627770326371</v>
      </c>
      <c r="M30" s="59"/>
      <c r="N30" s="62">
        <f t="shared" si="2"/>
        <v>-63926</v>
      </c>
    </row>
    <row r="31" spans="1:18" ht="15.75">
      <c r="A31" s="66" t="s">
        <v>200</v>
      </c>
      <c r="B31" s="67"/>
      <c r="C31" s="63">
        <f t="shared" ref="C31:J31" si="3">SUM(C27:C30)</f>
        <v>1937559</v>
      </c>
      <c r="D31" s="63">
        <f t="shared" si="3"/>
        <v>1791059</v>
      </c>
      <c r="E31" s="68">
        <f t="shared" si="3"/>
        <v>1353434543</v>
      </c>
      <c r="F31" s="68">
        <f t="shared" si="3"/>
        <v>378550147</v>
      </c>
      <c r="G31" s="68">
        <f t="shared" si="3"/>
        <v>995760204</v>
      </c>
      <c r="H31" s="68">
        <f t="shared" si="3"/>
        <v>645863345</v>
      </c>
      <c r="I31" s="68">
        <f t="shared" si="3"/>
        <v>503964801</v>
      </c>
      <c r="J31" s="68">
        <f t="shared" si="3"/>
        <v>228447870</v>
      </c>
      <c r="K31" s="66"/>
      <c r="L31" s="61">
        <f t="shared" si="0"/>
        <v>-8.1795183743249109E-2</v>
      </c>
      <c r="M31" s="59"/>
      <c r="N31" s="62">
        <f t="shared" si="2"/>
        <v>-146500</v>
      </c>
    </row>
    <row r="32" spans="1:18" ht="15.75">
      <c r="A32" s="59" t="s">
        <v>201</v>
      </c>
      <c r="B32" s="59"/>
      <c r="C32" s="62">
        <v>445</v>
      </c>
      <c r="D32" s="62">
        <v>6458</v>
      </c>
      <c r="E32" s="26">
        <v>21363627</v>
      </c>
      <c r="F32" s="26">
        <v>-13368538</v>
      </c>
      <c r="G32" s="26">
        <v>-110217957</v>
      </c>
      <c r="H32" s="26">
        <v>-48022488</v>
      </c>
      <c r="I32" s="26">
        <v>1660163</v>
      </c>
      <c r="J32" s="26">
        <v>15073469</v>
      </c>
      <c r="K32" s="59"/>
      <c r="L32" s="61">
        <f t="shared" si="0"/>
        <v>0.93109321771446263</v>
      </c>
      <c r="M32" s="59"/>
      <c r="N32" s="62">
        <f t="shared" si="2"/>
        <v>6013</v>
      </c>
    </row>
    <row r="33" spans="1:19" ht="15.75">
      <c r="A33" s="59" t="s">
        <v>202</v>
      </c>
      <c r="B33" s="59"/>
      <c r="C33" s="26">
        <v>0</v>
      </c>
      <c r="D33" s="62">
        <v>0</v>
      </c>
      <c r="E33" s="26">
        <v>264075557</v>
      </c>
      <c r="F33" s="26">
        <v>133000000</v>
      </c>
      <c r="G33" s="26">
        <f>100000000+86960879</f>
        <v>186960879</v>
      </c>
      <c r="H33" s="26">
        <v>280567361</v>
      </c>
      <c r="I33" s="26">
        <v>209948252</v>
      </c>
      <c r="J33" s="26">
        <v>300000000</v>
      </c>
      <c r="K33" s="59"/>
      <c r="L33" s="61" t="e">
        <f t="shared" si="0"/>
        <v>#DIV/0!</v>
      </c>
      <c r="M33" s="59"/>
      <c r="N33" s="62">
        <f t="shared" si="2"/>
        <v>0</v>
      </c>
    </row>
    <row r="34" spans="1:19" ht="15.75">
      <c r="A34" s="59" t="s">
        <v>203</v>
      </c>
      <c r="B34" s="59"/>
      <c r="C34" s="26">
        <v>0</v>
      </c>
      <c r="D34" s="26">
        <v>0</v>
      </c>
      <c r="E34" s="26"/>
      <c r="F34" s="26"/>
      <c r="G34" s="26"/>
      <c r="H34" s="26">
        <v>0</v>
      </c>
      <c r="I34" s="26">
        <v>0</v>
      </c>
      <c r="J34" s="26">
        <v>0</v>
      </c>
      <c r="K34" s="59"/>
      <c r="L34" s="61" t="e">
        <f t="shared" si="0"/>
        <v>#DIV/0!</v>
      </c>
      <c r="M34" s="59"/>
      <c r="N34" s="62">
        <f t="shared" si="2"/>
        <v>0</v>
      </c>
    </row>
    <row r="35" spans="1:19" ht="15.75">
      <c r="A35" s="59" t="s">
        <v>204</v>
      </c>
      <c r="B35" s="59"/>
      <c r="C35" s="26">
        <f>1187294</f>
        <v>1187294</v>
      </c>
      <c r="D35" s="26">
        <f>1298113</f>
        <v>1298113</v>
      </c>
      <c r="E35" s="26">
        <v>364947551</v>
      </c>
      <c r="F35" s="26">
        <v>130815991</v>
      </c>
      <c r="G35" s="26">
        <v>231206366</v>
      </c>
      <c r="H35" s="26">
        <v>179344789</v>
      </c>
      <c r="I35" s="26">
        <v>88556187</v>
      </c>
      <c r="J35" s="26">
        <f>268332511-190490430</f>
        <v>77842081</v>
      </c>
      <c r="K35" s="59"/>
      <c r="L35" s="61">
        <f t="shared" si="0"/>
        <v>8.5369301439859241E-2</v>
      </c>
      <c r="M35" s="59"/>
      <c r="N35" s="62">
        <f t="shared" si="2"/>
        <v>110819</v>
      </c>
    </row>
    <row r="36" spans="1:19" ht="9" customHeight="1">
      <c r="A36" s="59"/>
      <c r="B36" s="59"/>
      <c r="C36" s="26"/>
      <c r="D36" s="26"/>
      <c r="E36" s="26"/>
      <c r="F36" s="26"/>
      <c r="G36" s="26"/>
      <c r="H36" s="26"/>
      <c r="I36" s="26"/>
      <c r="J36" s="26"/>
      <c r="K36" s="59"/>
      <c r="L36" s="61" t="e">
        <f t="shared" si="0"/>
        <v>#DIV/0!</v>
      </c>
      <c r="M36" s="59"/>
      <c r="N36" s="62"/>
    </row>
    <row r="37" spans="1:19" s="12" customFormat="1" ht="15.75">
      <c r="A37" s="64"/>
      <c r="B37" s="64" t="s">
        <v>205</v>
      </c>
      <c r="C37" s="64">
        <f>C16+C17+C18+C25+C31+C32+C34+C35+C33</f>
        <v>21902868</v>
      </c>
      <c r="D37" s="64">
        <f>D16+D17+D18+D25+D31+D32+D34+D35+D33</f>
        <v>19853919</v>
      </c>
      <c r="E37" s="64">
        <f t="shared" ref="E37:J37" si="4">E16+E17+E18+E25+E31+E32+E34+E35+E33</f>
        <v>18753174980</v>
      </c>
      <c r="F37" s="64">
        <f t="shared" si="4"/>
        <v>8805784185</v>
      </c>
      <c r="G37" s="64">
        <f t="shared" si="4"/>
        <v>17796408560</v>
      </c>
      <c r="H37" s="64">
        <f t="shared" si="4"/>
        <v>15048381012</v>
      </c>
      <c r="I37" s="64">
        <f t="shared" si="4"/>
        <v>13324238403</v>
      </c>
      <c r="J37" s="64">
        <f t="shared" si="4"/>
        <v>14971878762</v>
      </c>
      <c r="K37" s="60"/>
      <c r="L37" s="61">
        <f t="shared" si="0"/>
        <v>-0.10320123699507387</v>
      </c>
      <c r="M37" s="59"/>
      <c r="N37" s="62">
        <f t="shared" si="2"/>
        <v>-2048949</v>
      </c>
      <c r="P37" s="4"/>
      <c r="Q37" s="4"/>
      <c r="R37" s="4"/>
      <c r="S37" s="4"/>
    </row>
    <row r="38" spans="1:19" ht="5.25" customHeight="1">
      <c r="A38" s="59"/>
      <c r="B38" s="59"/>
      <c r="C38" s="26"/>
      <c r="D38" s="26"/>
      <c r="E38" s="26"/>
      <c r="F38" s="26"/>
      <c r="G38" s="26"/>
      <c r="H38" s="26"/>
      <c r="I38" s="26"/>
      <c r="J38" s="26"/>
      <c r="K38" s="59"/>
      <c r="L38" s="61" t="e">
        <f t="shared" si="0"/>
        <v>#DIV/0!</v>
      </c>
      <c r="M38" s="59"/>
      <c r="N38" s="62"/>
    </row>
    <row r="39" spans="1:19" ht="15.75">
      <c r="A39" s="69" t="s">
        <v>206</v>
      </c>
      <c r="B39" s="69"/>
      <c r="C39" s="70">
        <f>C13-C37</f>
        <v>2972996</v>
      </c>
      <c r="D39" s="70">
        <f>D13-D37</f>
        <v>772651</v>
      </c>
      <c r="E39" s="31">
        <f t="shared" ref="E39:J39" si="5">E13-E37</f>
        <v>929182323</v>
      </c>
      <c r="F39" s="31">
        <f t="shared" si="5"/>
        <v>546927412</v>
      </c>
      <c r="G39" s="31">
        <f t="shared" si="5"/>
        <v>610303923</v>
      </c>
      <c r="H39" s="31">
        <f t="shared" si="5"/>
        <v>574740515</v>
      </c>
      <c r="I39" s="31">
        <f t="shared" si="5"/>
        <v>858391331</v>
      </c>
      <c r="J39" s="31">
        <f t="shared" si="5"/>
        <v>-1073484333</v>
      </c>
      <c r="K39" s="26"/>
      <c r="L39" s="61">
        <f t="shared" si="0"/>
        <v>-2.8477863873857667</v>
      </c>
      <c r="M39" s="59"/>
      <c r="N39" s="62">
        <f t="shared" si="2"/>
        <v>-2200345</v>
      </c>
    </row>
    <row r="40" spans="1:19" ht="8.25" customHeight="1">
      <c r="A40" s="59"/>
      <c r="B40" s="59"/>
      <c r="C40" s="26"/>
      <c r="D40" s="26"/>
      <c r="E40" s="26"/>
      <c r="F40" s="26"/>
      <c r="G40" s="26"/>
      <c r="H40" s="26"/>
      <c r="I40" s="26"/>
      <c r="J40" s="26"/>
      <c r="K40" s="59"/>
      <c r="L40" s="61" t="e">
        <f t="shared" si="0"/>
        <v>#DIV/0!</v>
      </c>
      <c r="M40" s="59"/>
      <c r="N40" s="59"/>
    </row>
    <row r="41" spans="1:19" ht="15.75">
      <c r="A41" s="60" t="s">
        <v>207</v>
      </c>
      <c r="B41" s="60"/>
      <c r="C41" s="26"/>
      <c r="D41" s="26"/>
      <c r="E41" s="26"/>
      <c r="F41" s="26"/>
      <c r="G41" s="26"/>
      <c r="H41" s="26"/>
      <c r="I41" s="26"/>
      <c r="J41" s="26"/>
      <c r="K41" s="59"/>
      <c r="L41" s="61" t="e">
        <f t="shared" si="0"/>
        <v>#DIV/0!</v>
      </c>
      <c r="M41" s="59"/>
      <c r="N41" s="59"/>
    </row>
    <row r="42" spans="1:19" ht="15.75" hidden="1">
      <c r="A42" s="59" t="s">
        <v>208</v>
      </c>
      <c r="B42" s="59"/>
      <c r="C42" s="26"/>
      <c r="D42" s="26"/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59"/>
      <c r="L42" s="61" t="e">
        <f t="shared" si="0"/>
        <v>#DIV/0!</v>
      </c>
      <c r="M42" s="59"/>
      <c r="N42" s="59"/>
    </row>
    <row r="43" spans="1:19" ht="15.75" hidden="1">
      <c r="A43" s="59" t="s">
        <v>209</v>
      </c>
      <c r="B43" s="59"/>
      <c r="C43" s="26"/>
      <c r="D43" s="26"/>
      <c r="E43" s="26"/>
      <c r="F43" s="26"/>
      <c r="G43" s="26"/>
      <c r="H43" s="26"/>
      <c r="I43" s="26"/>
      <c r="J43" s="26"/>
      <c r="K43" s="59"/>
      <c r="L43" s="61" t="e">
        <f t="shared" si="0"/>
        <v>#DIV/0!</v>
      </c>
      <c r="M43" s="59"/>
      <c r="N43" s="59"/>
    </row>
    <row r="44" spans="1:19" ht="15.75" hidden="1">
      <c r="A44" s="59" t="s">
        <v>210</v>
      </c>
      <c r="B44" s="59"/>
      <c r="C44" s="26"/>
      <c r="D44" s="26"/>
      <c r="E44" s="26"/>
      <c r="F44" s="26"/>
      <c r="G44" s="26"/>
      <c r="H44" s="26"/>
      <c r="I44" s="26"/>
      <c r="J44" s="26"/>
      <c r="K44" s="59"/>
      <c r="L44" s="61" t="e">
        <f t="shared" si="0"/>
        <v>#DIV/0!</v>
      </c>
      <c r="M44" s="59"/>
      <c r="N44" s="59"/>
    </row>
    <row r="45" spans="1:19" ht="15.75" hidden="1">
      <c r="A45" s="59" t="s">
        <v>211</v>
      </c>
      <c r="B45" s="59"/>
      <c r="C45" s="26"/>
      <c r="D45" s="26"/>
      <c r="E45" s="26"/>
      <c r="F45" s="26"/>
      <c r="G45" s="26"/>
      <c r="H45" s="26"/>
      <c r="I45" s="26"/>
      <c r="J45" s="26"/>
      <c r="K45" s="59"/>
      <c r="L45" s="61" t="e">
        <f t="shared" si="0"/>
        <v>#DIV/0!</v>
      </c>
      <c r="M45" s="59"/>
      <c r="N45" s="59"/>
    </row>
    <row r="46" spans="1:19" ht="15.75" hidden="1">
      <c r="A46" s="59" t="s">
        <v>212</v>
      </c>
      <c r="B46" s="59"/>
      <c r="C46" s="26"/>
      <c r="D46" s="26"/>
      <c r="E46" s="26"/>
      <c r="F46" s="26"/>
      <c r="G46" s="26"/>
      <c r="H46" s="26"/>
      <c r="I46" s="26"/>
      <c r="J46" s="26"/>
      <c r="K46" s="59"/>
      <c r="L46" s="61" t="e">
        <f t="shared" si="0"/>
        <v>#DIV/0!</v>
      </c>
      <c r="M46" s="59"/>
      <c r="N46" s="59"/>
    </row>
    <row r="47" spans="1:19" ht="15.75" hidden="1">
      <c r="A47" s="59" t="s">
        <v>213</v>
      </c>
      <c r="B47" s="59"/>
      <c r="C47" s="26"/>
      <c r="D47" s="26"/>
      <c r="E47" s="26"/>
      <c r="F47" s="26"/>
      <c r="G47" s="26"/>
      <c r="H47" s="26"/>
      <c r="I47" s="26"/>
      <c r="J47" s="26"/>
      <c r="K47" s="59"/>
      <c r="L47" s="61" t="e">
        <f t="shared" si="0"/>
        <v>#DIV/0!</v>
      </c>
      <c r="M47" s="59"/>
      <c r="N47" s="59"/>
    </row>
    <row r="48" spans="1:19" ht="15.75">
      <c r="A48" s="59" t="s">
        <v>214</v>
      </c>
      <c r="B48" s="59"/>
      <c r="C48" s="26"/>
      <c r="D48" s="26"/>
      <c r="E48" s="26"/>
      <c r="F48" s="26"/>
      <c r="G48" s="26"/>
      <c r="H48" s="26"/>
      <c r="I48" s="26"/>
      <c r="J48" s="26"/>
      <c r="K48" s="59"/>
      <c r="L48" s="61" t="e">
        <f t="shared" si="0"/>
        <v>#DIV/0!</v>
      </c>
      <c r="M48" s="59"/>
      <c r="N48" s="59"/>
    </row>
    <row r="49" spans="1:16" ht="15.75" hidden="1">
      <c r="A49" s="59" t="s">
        <v>215</v>
      </c>
      <c r="B49" s="59"/>
      <c r="C49" s="26"/>
      <c r="D49" s="26"/>
      <c r="E49" s="26"/>
      <c r="F49" s="26"/>
      <c r="G49" s="26"/>
      <c r="H49" s="26"/>
      <c r="I49" s="26"/>
      <c r="J49" s="26"/>
      <c r="K49" s="59"/>
      <c r="L49" s="61" t="e">
        <f t="shared" si="0"/>
        <v>#DIV/0!</v>
      </c>
      <c r="M49" s="59"/>
      <c r="N49" s="59"/>
    </row>
    <row r="50" spans="1:16" ht="15.75" hidden="1">
      <c r="A50" s="59" t="s">
        <v>216</v>
      </c>
      <c r="B50" s="59"/>
      <c r="C50" s="26"/>
      <c r="D50" s="26"/>
      <c r="E50" s="26"/>
      <c r="F50" s="26"/>
      <c r="G50" s="26"/>
      <c r="H50" s="26"/>
      <c r="I50" s="26"/>
      <c r="J50" s="26"/>
      <c r="K50" s="59"/>
      <c r="L50" s="61" t="e">
        <f t="shared" si="0"/>
        <v>#DIV/0!</v>
      </c>
      <c r="M50" s="59"/>
      <c r="N50" s="59"/>
    </row>
    <row r="51" spans="1:16" ht="15.75" hidden="1">
      <c r="A51" s="59" t="s">
        <v>217</v>
      </c>
      <c r="B51" s="59"/>
      <c r="C51" s="26"/>
      <c r="D51" s="26"/>
      <c r="E51" s="26"/>
      <c r="F51" s="26"/>
      <c r="G51" s="26"/>
      <c r="H51" s="26"/>
      <c r="I51" s="26"/>
      <c r="J51" s="26"/>
      <c r="K51" s="59"/>
      <c r="L51" s="61" t="e">
        <f t="shared" si="0"/>
        <v>#DIV/0!</v>
      </c>
      <c r="M51" s="59"/>
      <c r="N51" s="59"/>
    </row>
    <row r="52" spans="1:16" ht="15.75" hidden="1">
      <c r="A52" s="59" t="s">
        <v>218</v>
      </c>
      <c r="B52" s="59"/>
      <c r="C52" s="26"/>
      <c r="D52" s="26"/>
      <c r="E52" s="26"/>
      <c r="F52" s="26"/>
      <c r="G52" s="26"/>
      <c r="H52" s="26"/>
      <c r="I52" s="26"/>
      <c r="J52" s="26"/>
      <c r="K52" s="59"/>
      <c r="L52" s="61" t="e">
        <f t="shared" si="0"/>
        <v>#DIV/0!</v>
      </c>
      <c r="M52" s="59"/>
      <c r="N52" s="59"/>
    </row>
    <row r="53" spans="1:16" ht="15.75" hidden="1">
      <c r="A53" s="59" t="s">
        <v>219</v>
      </c>
      <c r="B53" s="59"/>
      <c r="C53" s="26"/>
      <c r="D53" s="26"/>
      <c r="E53" s="26"/>
      <c r="F53" s="26"/>
      <c r="G53" s="26"/>
      <c r="H53" s="26"/>
      <c r="I53" s="26"/>
      <c r="J53" s="26"/>
      <c r="K53" s="59"/>
      <c r="L53" s="61" t="e">
        <f t="shared" si="0"/>
        <v>#DIV/0!</v>
      </c>
      <c r="M53" s="59"/>
      <c r="N53" s="59"/>
    </row>
    <row r="54" spans="1:16" ht="15.75" hidden="1">
      <c r="A54" s="59" t="s">
        <v>220</v>
      </c>
      <c r="B54" s="59"/>
      <c r="C54" s="26"/>
      <c r="D54" s="26"/>
      <c r="E54" s="26"/>
      <c r="F54" s="26"/>
      <c r="G54" s="26"/>
      <c r="H54" s="26"/>
      <c r="I54" s="26"/>
      <c r="J54" s="26"/>
      <c r="K54" s="59"/>
      <c r="L54" s="61" t="e">
        <f t="shared" si="0"/>
        <v>#DIV/0!</v>
      </c>
      <c r="M54" s="59"/>
      <c r="N54" s="59"/>
    </row>
    <row r="55" spans="1:16" ht="15.75" hidden="1">
      <c r="A55" s="59" t="s">
        <v>221</v>
      </c>
      <c r="B55" s="59"/>
      <c r="C55" s="26"/>
      <c r="D55" s="26"/>
      <c r="E55" s="26">
        <v>141640653</v>
      </c>
      <c r="F55" s="26">
        <v>77232826</v>
      </c>
      <c r="G55" s="26">
        <v>122405534</v>
      </c>
      <c r="H55" s="26">
        <v>105402124</v>
      </c>
      <c r="I55" s="26">
        <v>75879191</v>
      </c>
      <c r="J55" s="26">
        <f>49692704-20277159</f>
        <v>29415545</v>
      </c>
      <c r="K55" s="59"/>
      <c r="L55" s="61" t="e">
        <f t="shared" si="0"/>
        <v>#DIV/0!</v>
      </c>
      <c r="M55" s="59"/>
      <c r="N55" s="62">
        <f>C55-D55</f>
        <v>0</v>
      </c>
    </row>
    <row r="56" spans="1:16" ht="15.75" hidden="1">
      <c r="A56" s="59" t="s">
        <v>222</v>
      </c>
      <c r="B56" s="59"/>
      <c r="C56" s="26"/>
      <c r="D56" s="26"/>
      <c r="E56" s="26"/>
      <c r="F56" s="26"/>
      <c r="G56" s="26"/>
      <c r="H56" s="26"/>
      <c r="I56" s="26"/>
      <c r="J56" s="26"/>
      <c r="K56" s="59"/>
      <c r="L56" s="61" t="e">
        <f t="shared" si="0"/>
        <v>#DIV/0!</v>
      </c>
      <c r="M56" s="59"/>
      <c r="N56" s="62">
        <f>C56-D56</f>
        <v>0</v>
      </c>
    </row>
    <row r="57" spans="1:16" ht="15.75">
      <c r="A57" s="59" t="s">
        <v>223</v>
      </c>
      <c r="B57" s="59"/>
      <c r="C57" s="26"/>
      <c r="D57" s="26"/>
      <c r="E57" s="26"/>
      <c r="F57" s="26"/>
      <c r="G57" s="26"/>
      <c r="H57" s="26"/>
      <c r="I57" s="26"/>
      <c r="J57" s="26"/>
      <c r="K57" s="59"/>
      <c r="L57" s="61" t="e">
        <f t="shared" si="0"/>
        <v>#DIV/0!</v>
      </c>
      <c r="M57" s="59"/>
      <c r="N57" s="62">
        <f>C57-D57</f>
        <v>0</v>
      </c>
      <c r="P57" s="5"/>
    </row>
    <row r="58" spans="1:16" ht="15.75">
      <c r="A58" s="59" t="s">
        <v>216</v>
      </c>
      <c r="B58" s="59"/>
      <c r="C58" s="26">
        <v>73916</v>
      </c>
      <c r="D58" s="26">
        <v>5706</v>
      </c>
      <c r="E58" s="26"/>
      <c r="F58" s="26"/>
      <c r="G58" s="26"/>
      <c r="H58" s="26"/>
      <c r="I58" s="26"/>
      <c r="J58" s="26"/>
      <c r="K58" s="59"/>
      <c r="L58" s="61">
        <f t="shared" si="0"/>
        <v>-11.954083420960393</v>
      </c>
      <c r="M58" s="59"/>
      <c r="N58" s="62"/>
    </row>
    <row r="59" spans="1:16" ht="15.75" hidden="1">
      <c r="A59" s="59" t="s">
        <v>217</v>
      </c>
      <c r="B59" s="59"/>
      <c r="C59" s="26"/>
      <c r="D59" s="26"/>
      <c r="E59" s="26"/>
      <c r="F59" s="26"/>
      <c r="G59" s="26"/>
      <c r="H59" s="26"/>
      <c r="I59" s="26"/>
      <c r="J59" s="26"/>
      <c r="K59" s="59"/>
      <c r="L59" s="61" t="e">
        <f t="shared" si="0"/>
        <v>#DIV/0!</v>
      </c>
      <c r="M59" s="59"/>
      <c r="N59" s="62"/>
    </row>
    <row r="60" spans="1:16" ht="15.75" hidden="1">
      <c r="A60" s="59" t="s">
        <v>218</v>
      </c>
      <c r="B60" s="59"/>
      <c r="C60" s="26"/>
      <c r="D60" s="26"/>
      <c r="E60" s="26"/>
      <c r="F60" s="26"/>
      <c r="G60" s="26"/>
      <c r="H60" s="26"/>
      <c r="I60" s="26"/>
      <c r="J60" s="26"/>
      <c r="K60" s="59"/>
      <c r="L60" s="61" t="e">
        <f t="shared" si="0"/>
        <v>#DIV/0!</v>
      </c>
      <c r="M60" s="59"/>
      <c r="N60" s="62"/>
    </row>
    <row r="61" spans="1:16" ht="15.75" hidden="1">
      <c r="A61" s="59" t="s">
        <v>219</v>
      </c>
      <c r="B61" s="59"/>
      <c r="C61" s="26"/>
      <c r="D61" s="26"/>
      <c r="E61" s="26"/>
      <c r="F61" s="26"/>
      <c r="G61" s="26"/>
      <c r="H61" s="26"/>
      <c r="I61" s="26"/>
      <c r="J61" s="26"/>
      <c r="K61" s="59"/>
      <c r="L61" s="61" t="e">
        <f t="shared" si="0"/>
        <v>#DIV/0!</v>
      </c>
      <c r="M61" s="59"/>
      <c r="N61" s="62"/>
    </row>
    <row r="62" spans="1:16" ht="15.75" hidden="1">
      <c r="A62" s="59" t="s">
        <v>220</v>
      </c>
      <c r="B62" s="59"/>
      <c r="C62" s="26"/>
      <c r="D62" s="26"/>
      <c r="E62" s="26"/>
      <c r="F62" s="26"/>
      <c r="G62" s="26"/>
      <c r="H62" s="26"/>
      <c r="I62" s="26"/>
      <c r="J62" s="26"/>
      <c r="K62" s="59"/>
      <c r="L62" s="61" t="e">
        <f t="shared" si="0"/>
        <v>#DIV/0!</v>
      </c>
      <c r="M62" s="59"/>
      <c r="N62" s="62"/>
    </row>
    <row r="63" spans="1:16" ht="15.75">
      <c r="A63" s="59"/>
      <c r="B63" s="66" t="s">
        <v>224</v>
      </c>
      <c r="C63" s="71">
        <f>SUM(C42:C62)</f>
        <v>73916</v>
      </c>
      <c r="D63" s="71">
        <f>SUM(D42:D62)</f>
        <v>5706</v>
      </c>
      <c r="E63" s="71"/>
      <c r="F63" s="71"/>
      <c r="G63" s="71"/>
      <c r="H63" s="71"/>
      <c r="I63" s="71"/>
      <c r="J63" s="71"/>
      <c r="K63" s="66"/>
      <c r="L63" s="61">
        <f t="shared" si="0"/>
        <v>-11.954083420960393</v>
      </c>
      <c r="M63" s="66"/>
      <c r="N63" s="62">
        <f>C63-D63</f>
        <v>68210</v>
      </c>
    </row>
    <row r="64" spans="1:16" ht="14.45" customHeight="1">
      <c r="A64" s="59" t="s">
        <v>225</v>
      </c>
      <c r="B64" s="59"/>
      <c r="C64" s="71"/>
      <c r="D64" s="71"/>
      <c r="E64" s="26"/>
      <c r="F64" s="26"/>
      <c r="G64" s="26"/>
      <c r="H64" s="26"/>
      <c r="I64" s="26"/>
      <c r="J64" s="26"/>
      <c r="K64" s="59"/>
      <c r="L64" s="61" t="e">
        <f t="shared" si="0"/>
        <v>#DIV/0!</v>
      </c>
      <c r="M64" s="59"/>
      <c r="N64" s="62">
        <f>C64-D64</f>
        <v>0</v>
      </c>
    </row>
    <row r="65" spans="1:14" ht="14.45" customHeight="1">
      <c r="A65" s="59" t="s">
        <v>216</v>
      </c>
      <c r="B65" s="59"/>
      <c r="C65" s="72">
        <v>-308370</v>
      </c>
      <c r="D65" s="72">
        <v>-340095</v>
      </c>
      <c r="E65" s="26"/>
      <c r="F65" s="26"/>
      <c r="G65" s="26"/>
      <c r="H65" s="26"/>
      <c r="I65" s="26"/>
      <c r="J65" s="26"/>
      <c r="K65" s="59"/>
      <c r="L65" s="61">
        <f t="shared" si="0"/>
        <v>9.3282759229038947E-2</v>
      </c>
      <c r="M65" s="59"/>
      <c r="N65" s="62"/>
    </row>
    <row r="66" spans="1:14" ht="14.45" hidden="1" customHeight="1">
      <c r="A66" s="59" t="s">
        <v>217</v>
      </c>
      <c r="B66" s="59"/>
      <c r="C66" s="62"/>
      <c r="D66" s="62"/>
      <c r="E66" s="26"/>
      <c r="F66" s="26"/>
      <c r="G66" s="26"/>
      <c r="H66" s="26"/>
      <c r="I66" s="26"/>
      <c r="J66" s="26"/>
      <c r="K66" s="59"/>
      <c r="L66" s="61" t="e">
        <f t="shared" si="0"/>
        <v>#DIV/0!</v>
      </c>
      <c r="M66" s="59"/>
      <c r="N66" s="62"/>
    </row>
    <row r="67" spans="1:14" ht="14.45" hidden="1" customHeight="1">
      <c r="A67" s="59" t="s">
        <v>218</v>
      </c>
      <c r="B67" s="59"/>
      <c r="C67" s="62"/>
      <c r="D67" s="62"/>
      <c r="E67" s="26"/>
      <c r="F67" s="26"/>
      <c r="G67" s="26"/>
      <c r="H67" s="26"/>
      <c r="I67" s="26"/>
      <c r="J67" s="26"/>
      <c r="K67" s="59"/>
      <c r="L67" s="61" t="e">
        <f t="shared" si="0"/>
        <v>#DIV/0!</v>
      </c>
      <c r="M67" s="59"/>
      <c r="N67" s="62"/>
    </row>
    <row r="68" spans="1:14" ht="14.45" hidden="1" customHeight="1">
      <c r="A68" s="59" t="s">
        <v>219</v>
      </c>
      <c r="B68" s="59"/>
      <c r="C68" s="62"/>
      <c r="D68" s="62"/>
      <c r="E68" s="26"/>
      <c r="F68" s="26"/>
      <c r="G68" s="26"/>
      <c r="H68" s="26"/>
      <c r="I68" s="26"/>
      <c r="J68" s="26"/>
      <c r="K68" s="59"/>
      <c r="L68" s="61" t="e">
        <f t="shared" si="0"/>
        <v>#DIV/0!</v>
      </c>
      <c r="M68" s="59"/>
      <c r="N68" s="62"/>
    </row>
    <row r="69" spans="1:14" ht="14.25" hidden="1" customHeight="1">
      <c r="A69" s="59" t="s">
        <v>226</v>
      </c>
      <c r="B69" s="59"/>
      <c r="C69" s="26"/>
      <c r="D69" s="26"/>
      <c r="E69" s="26"/>
      <c r="F69" s="26"/>
      <c r="G69" s="26"/>
      <c r="H69" s="26"/>
      <c r="I69" s="26"/>
      <c r="J69" s="26"/>
      <c r="K69" s="59"/>
      <c r="L69" s="61" t="e">
        <f t="shared" si="0"/>
        <v>#DIV/0!</v>
      </c>
      <c r="M69" s="59"/>
      <c r="N69" s="62">
        <f>D69-C69</f>
        <v>0</v>
      </c>
    </row>
    <row r="70" spans="1:14" ht="9.75" customHeight="1">
      <c r="A70" s="59"/>
      <c r="B70" s="59"/>
      <c r="C70" s="26"/>
      <c r="D70" s="26"/>
      <c r="E70" s="26"/>
      <c r="F70" s="26"/>
      <c r="G70" s="26"/>
      <c r="H70" s="26"/>
      <c r="I70" s="26"/>
      <c r="J70" s="26"/>
      <c r="K70" s="59"/>
      <c r="L70" s="61" t="e">
        <f t="shared" ref="L70:L91" si="6">-(C70-D70)/D70</f>
        <v>#DIV/0!</v>
      </c>
      <c r="M70" s="59"/>
      <c r="N70" s="59"/>
    </row>
    <row r="71" spans="1:14" ht="15.75">
      <c r="A71" s="69"/>
      <c r="B71" s="69" t="s">
        <v>227</v>
      </c>
      <c r="C71" s="70">
        <f>C63+C65</f>
        <v>-234454</v>
      </c>
      <c r="D71" s="70">
        <f>D63+D65</f>
        <v>-334389</v>
      </c>
      <c r="E71" s="64">
        <f>SUM(E55:E69)</f>
        <v>141640653</v>
      </c>
      <c r="F71" s="64">
        <f>SUM(F55:F69)</f>
        <v>77232826</v>
      </c>
      <c r="G71" s="64">
        <f>SUM(G55:G69)</f>
        <v>122405534</v>
      </c>
      <c r="H71" s="64">
        <f>SUM(H55:H69)</f>
        <v>105402124</v>
      </c>
      <c r="I71" s="64">
        <f>SUM(I55:I69)</f>
        <v>75879191</v>
      </c>
      <c r="J71" s="64" t="e">
        <f>J55-J69-#REF!</f>
        <v>#REF!</v>
      </c>
      <c r="K71" s="59"/>
      <c r="L71" s="61">
        <f t="shared" si="6"/>
        <v>0.29885851508273298</v>
      </c>
      <c r="M71" s="59"/>
      <c r="N71" s="62">
        <f>C71-D71</f>
        <v>99935</v>
      </c>
    </row>
    <row r="72" spans="1:14" ht="9.75" customHeight="1">
      <c r="A72" s="59"/>
      <c r="B72" s="59"/>
      <c r="C72" s="26"/>
      <c r="D72" s="26"/>
      <c r="E72" s="26"/>
      <c r="F72" s="26"/>
      <c r="G72" s="26"/>
      <c r="H72" s="26"/>
      <c r="I72" s="26"/>
      <c r="J72" s="26"/>
      <c r="K72" s="59"/>
      <c r="L72" s="61" t="e">
        <f t="shared" si="6"/>
        <v>#DIV/0!</v>
      </c>
      <c r="M72" s="59"/>
      <c r="N72" s="59"/>
    </row>
    <row r="73" spans="1:14" ht="15.75">
      <c r="A73" s="69" t="s">
        <v>228</v>
      </c>
      <c r="B73" s="69"/>
      <c r="C73" s="70"/>
      <c r="D73" s="70"/>
      <c r="E73" s="26"/>
      <c r="F73" s="26"/>
      <c r="G73" s="26"/>
      <c r="H73" s="26"/>
      <c r="I73" s="26"/>
      <c r="J73" s="26"/>
      <c r="K73" s="59"/>
      <c r="L73" s="61" t="e">
        <f t="shared" si="6"/>
        <v>#DIV/0!</v>
      </c>
      <c r="M73" s="59"/>
      <c r="N73" s="62">
        <f>C73-D73</f>
        <v>0</v>
      </c>
    </row>
    <row r="74" spans="1:14" ht="15.75" hidden="1">
      <c r="A74" s="59" t="s">
        <v>229</v>
      </c>
      <c r="B74" s="59"/>
      <c r="C74" s="26">
        <f>SUM(C75:C78)</f>
        <v>0</v>
      </c>
      <c r="D74" s="26">
        <f>SUM(D75:D78)</f>
        <v>0</v>
      </c>
      <c r="E74" s="26"/>
      <c r="F74" s="26"/>
      <c r="G74" s="26"/>
      <c r="H74" s="26"/>
      <c r="I74" s="26"/>
      <c r="J74" s="26"/>
      <c r="K74" s="59"/>
      <c r="L74" s="61" t="e">
        <f t="shared" si="6"/>
        <v>#DIV/0!</v>
      </c>
      <c r="M74" s="59"/>
      <c r="N74" s="62">
        <f t="shared" ref="N74:N84" si="7">C74-D74</f>
        <v>0</v>
      </c>
    </row>
    <row r="75" spans="1:14" ht="15.75" hidden="1">
      <c r="A75" s="59" t="s">
        <v>230</v>
      </c>
      <c r="B75" s="59"/>
      <c r="C75" s="26"/>
      <c r="D75" s="26"/>
      <c r="E75" s="26"/>
      <c r="F75" s="26"/>
      <c r="G75" s="26"/>
      <c r="H75" s="26"/>
      <c r="I75" s="26"/>
      <c r="J75" s="26"/>
      <c r="K75" s="59"/>
      <c r="L75" s="61" t="e">
        <f t="shared" si="6"/>
        <v>#DIV/0!</v>
      </c>
      <c r="M75" s="59"/>
      <c r="N75" s="62">
        <f t="shared" si="7"/>
        <v>0</v>
      </c>
    </row>
    <row r="76" spans="1:14" ht="15.75" hidden="1">
      <c r="A76" s="59" t="s">
        <v>231</v>
      </c>
      <c r="B76" s="59"/>
      <c r="C76" s="26"/>
      <c r="D76" s="26"/>
      <c r="E76" s="26"/>
      <c r="F76" s="26"/>
      <c r="G76" s="26"/>
      <c r="H76" s="26"/>
      <c r="I76" s="26"/>
      <c r="J76" s="26"/>
      <c r="K76" s="59"/>
      <c r="L76" s="61" t="e">
        <f t="shared" si="6"/>
        <v>#DIV/0!</v>
      </c>
      <c r="M76" s="59"/>
      <c r="N76" s="62">
        <f t="shared" si="7"/>
        <v>0</v>
      </c>
    </row>
    <row r="77" spans="1:14" ht="15.75" hidden="1">
      <c r="A77" s="59" t="s">
        <v>232</v>
      </c>
      <c r="B77" s="59"/>
      <c r="C77" s="26"/>
      <c r="D77" s="26"/>
      <c r="E77" s="26"/>
      <c r="F77" s="26"/>
      <c r="G77" s="26"/>
      <c r="H77" s="26"/>
      <c r="I77" s="26"/>
      <c r="J77" s="26"/>
      <c r="K77" s="59"/>
      <c r="L77" s="61" t="e">
        <f t="shared" si="6"/>
        <v>#DIV/0!</v>
      </c>
      <c r="M77" s="59"/>
      <c r="N77" s="62">
        <f t="shared" si="7"/>
        <v>0</v>
      </c>
    </row>
    <row r="78" spans="1:14" ht="15.75" hidden="1">
      <c r="A78" s="59" t="s">
        <v>233</v>
      </c>
      <c r="B78" s="59"/>
      <c r="C78" s="26"/>
      <c r="D78" s="26"/>
      <c r="E78" s="26"/>
      <c r="F78" s="26"/>
      <c r="G78" s="26"/>
      <c r="H78" s="26"/>
      <c r="I78" s="26"/>
      <c r="J78" s="26"/>
      <c r="K78" s="59"/>
      <c r="L78" s="61" t="e">
        <f t="shared" si="6"/>
        <v>#DIV/0!</v>
      </c>
      <c r="M78" s="59"/>
      <c r="N78" s="62">
        <f t="shared" si="7"/>
        <v>0</v>
      </c>
    </row>
    <row r="79" spans="1:14" ht="15.75">
      <c r="A79" s="59" t="s">
        <v>234</v>
      </c>
      <c r="B79" s="59"/>
      <c r="C79" s="62"/>
      <c r="D79" s="62"/>
      <c r="E79" s="26"/>
      <c r="F79" s="26"/>
      <c r="G79" s="26"/>
      <c r="H79" s="26"/>
      <c r="I79" s="26"/>
      <c r="J79" s="26"/>
      <c r="K79" s="59"/>
      <c r="L79" s="61" t="e">
        <f t="shared" si="6"/>
        <v>#DIV/0!</v>
      </c>
      <c r="M79" s="59"/>
      <c r="N79" s="62">
        <f t="shared" si="7"/>
        <v>0</v>
      </c>
    </row>
    <row r="80" spans="1:14" ht="15.75">
      <c r="A80" s="59" t="s">
        <v>230</v>
      </c>
      <c r="B80" s="59"/>
      <c r="C80" s="72">
        <v>-112060</v>
      </c>
      <c r="D80" s="62">
        <v>0</v>
      </c>
      <c r="E80" s="26"/>
      <c r="F80" s="26"/>
      <c r="G80" s="26"/>
      <c r="H80" s="26"/>
      <c r="I80" s="26"/>
      <c r="J80" s="26"/>
      <c r="K80" s="59"/>
      <c r="L80" s="61" t="e">
        <f t="shared" si="6"/>
        <v>#DIV/0!</v>
      </c>
      <c r="M80" s="59"/>
      <c r="N80" s="62">
        <f t="shared" si="7"/>
        <v>-112060</v>
      </c>
    </row>
    <row r="81" spans="1:14" ht="15.75" hidden="1">
      <c r="A81" s="59" t="s">
        <v>231</v>
      </c>
      <c r="B81" s="59"/>
      <c r="C81" s="26"/>
      <c r="D81" s="62"/>
      <c r="E81" s="26"/>
      <c r="F81" s="26"/>
      <c r="G81" s="26"/>
      <c r="H81" s="26"/>
      <c r="I81" s="26"/>
      <c r="J81" s="26"/>
      <c r="K81" s="59"/>
      <c r="L81" s="61" t="e">
        <f t="shared" si="6"/>
        <v>#DIV/0!</v>
      </c>
      <c r="M81" s="59"/>
      <c r="N81" s="62">
        <f t="shared" si="7"/>
        <v>0</v>
      </c>
    </row>
    <row r="82" spans="1:14" ht="15.75" hidden="1">
      <c r="A82" s="59" t="s">
        <v>232</v>
      </c>
      <c r="B82" s="59"/>
      <c r="C82" s="26"/>
      <c r="D82" s="62"/>
      <c r="E82" s="26"/>
      <c r="F82" s="26"/>
      <c r="G82" s="26"/>
      <c r="H82" s="26"/>
      <c r="I82" s="26"/>
      <c r="J82" s="26"/>
      <c r="K82" s="59"/>
      <c r="L82" s="61" t="e">
        <f t="shared" si="6"/>
        <v>#DIV/0!</v>
      </c>
      <c r="M82" s="59"/>
      <c r="N82" s="62">
        <f t="shared" si="7"/>
        <v>0</v>
      </c>
    </row>
    <row r="83" spans="1:14" ht="15.75" hidden="1">
      <c r="A83" s="59" t="s">
        <v>233</v>
      </c>
      <c r="B83" s="59"/>
      <c r="C83" s="26"/>
      <c r="D83" s="62"/>
      <c r="E83" s="26"/>
      <c r="F83" s="26"/>
      <c r="G83" s="26"/>
      <c r="H83" s="26"/>
      <c r="I83" s="26"/>
      <c r="J83" s="26"/>
      <c r="K83" s="59"/>
      <c r="L83" s="61" t="e">
        <f t="shared" si="6"/>
        <v>#DIV/0!</v>
      </c>
      <c r="M83" s="59"/>
      <c r="N83" s="62">
        <f t="shared" si="7"/>
        <v>0</v>
      </c>
    </row>
    <row r="84" spans="1:14" ht="15.75">
      <c r="A84" s="69"/>
      <c r="B84" s="69" t="s">
        <v>235</v>
      </c>
      <c r="C84" s="70">
        <f>SUM(C80:C83)</f>
        <v>-112060</v>
      </c>
      <c r="D84" s="70">
        <f>D74+D79</f>
        <v>0</v>
      </c>
      <c r="E84" s="26"/>
      <c r="F84" s="26"/>
      <c r="G84" s="26"/>
      <c r="H84" s="26"/>
      <c r="I84" s="26"/>
      <c r="J84" s="26"/>
      <c r="K84" s="59"/>
      <c r="L84" s="61" t="e">
        <f t="shared" si="6"/>
        <v>#DIV/0!</v>
      </c>
      <c r="M84" s="59"/>
      <c r="N84" s="62">
        <f t="shared" si="7"/>
        <v>-112060</v>
      </c>
    </row>
    <row r="85" spans="1:14" ht="15.75">
      <c r="A85" s="60"/>
      <c r="B85" s="60"/>
      <c r="C85" s="31"/>
      <c r="D85" s="31"/>
      <c r="E85" s="26"/>
      <c r="F85" s="26"/>
      <c r="G85" s="26"/>
      <c r="H85" s="26"/>
      <c r="I85" s="26"/>
      <c r="J85" s="26"/>
      <c r="K85" s="59"/>
      <c r="L85" s="61" t="e">
        <f t="shared" si="6"/>
        <v>#DIV/0!</v>
      </c>
      <c r="M85" s="59"/>
      <c r="N85" s="59"/>
    </row>
    <row r="86" spans="1:14" ht="15.75">
      <c r="A86" s="69" t="s">
        <v>236</v>
      </c>
      <c r="B86" s="56"/>
      <c r="C86" s="70">
        <f>C39+C71+C84</f>
        <v>2626482</v>
      </c>
      <c r="D86" s="70">
        <f>D39+D71+D84</f>
        <v>438262</v>
      </c>
      <c r="E86" s="31" t="e">
        <f>E39+E71+#REF!+#REF!</f>
        <v>#REF!</v>
      </c>
      <c r="F86" s="31" t="e">
        <f>F39+F71+#REF!+#REF!</f>
        <v>#REF!</v>
      </c>
      <c r="G86" s="31" t="e">
        <f>G39+G71+#REF!+#REF!</f>
        <v>#REF!</v>
      </c>
      <c r="H86" s="31" t="e">
        <f>H39+H71+#REF!+#REF!</f>
        <v>#REF!</v>
      </c>
      <c r="I86" s="31" t="e">
        <f>I39+I71+#REF!+#REF!</f>
        <v>#REF!</v>
      </c>
      <c r="J86" s="31" t="e">
        <f>J39+J71+#REF!+#REF!</f>
        <v>#REF!</v>
      </c>
      <c r="K86" s="59"/>
      <c r="L86" s="61">
        <f t="shared" si="6"/>
        <v>-4.992949422947917</v>
      </c>
      <c r="M86" s="59"/>
      <c r="N86" s="62">
        <f t="shared" ref="N86:N91" si="8">C86-D86</f>
        <v>2188220</v>
      </c>
    </row>
    <row r="87" spans="1:14" ht="15.75">
      <c r="A87" s="59"/>
      <c r="B87" s="59"/>
      <c r="C87" s="62"/>
      <c r="D87" s="62"/>
      <c r="E87" s="26"/>
      <c r="F87" s="26"/>
      <c r="G87" s="26"/>
      <c r="H87" s="26"/>
      <c r="I87" s="26"/>
      <c r="J87" s="26"/>
      <c r="K87" s="59"/>
      <c r="L87" s="61" t="e">
        <f t="shared" si="6"/>
        <v>#DIV/0!</v>
      </c>
      <c r="M87" s="59"/>
      <c r="N87" s="62">
        <f t="shared" si="8"/>
        <v>0</v>
      </c>
    </row>
    <row r="88" spans="1:14" ht="15.75">
      <c r="A88" s="59" t="s">
        <v>237</v>
      </c>
      <c r="B88" s="59"/>
      <c r="C88" s="62">
        <v>-267472</v>
      </c>
      <c r="D88" s="62">
        <f>23307-33397-67997</f>
        <v>-78087</v>
      </c>
      <c r="E88" s="26"/>
      <c r="F88" s="26"/>
      <c r="G88" s="26"/>
      <c r="H88" s="26"/>
      <c r="I88" s="59"/>
      <c r="J88" s="26">
        <v>0</v>
      </c>
      <c r="K88" s="59"/>
      <c r="L88" s="61">
        <f t="shared" si="6"/>
        <v>-2.4253076696505178</v>
      </c>
      <c r="M88" s="59"/>
      <c r="N88" s="62">
        <f t="shared" si="8"/>
        <v>-189385</v>
      </c>
    </row>
    <row r="89" spans="1:14" ht="15.75">
      <c r="A89" s="69"/>
      <c r="B89" s="69" t="s">
        <v>238</v>
      </c>
      <c r="C89" s="70">
        <f>SUM(C88:C88)</f>
        <v>-267472</v>
      </c>
      <c r="D89" s="70">
        <f>SUM(D88:D88)</f>
        <v>-78087</v>
      </c>
      <c r="E89" s="31" t="e">
        <f>SUM(#REF!)</f>
        <v>#REF!</v>
      </c>
      <c r="F89" s="31" t="e">
        <f>SUM(#REF!)</f>
        <v>#REF!</v>
      </c>
      <c r="G89" s="31" t="e">
        <f>SUM(#REF!)</f>
        <v>#REF!</v>
      </c>
      <c r="H89" s="31" t="e">
        <f>SUM(#REF!)</f>
        <v>#REF!</v>
      </c>
      <c r="I89" s="31" t="e">
        <f>SUM(#REF!)</f>
        <v>#REF!</v>
      </c>
      <c r="J89" s="26"/>
      <c r="K89" s="59"/>
      <c r="L89" s="61">
        <f t="shared" si="6"/>
        <v>-2.4253076696505178</v>
      </c>
      <c r="M89" s="59"/>
      <c r="N89" s="62">
        <f t="shared" si="8"/>
        <v>-189385</v>
      </c>
    </row>
    <row r="90" spans="1:14" ht="16.5" thickBot="1">
      <c r="A90" s="59"/>
      <c r="B90" s="59"/>
      <c r="C90" s="62"/>
      <c r="D90" s="62"/>
      <c r="E90" s="26"/>
      <c r="F90" s="26"/>
      <c r="G90" s="26"/>
      <c r="H90" s="26"/>
      <c r="I90" s="26"/>
      <c r="J90" s="26"/>
      <c r="K90" s="59"/>
      <c r="L90" s="61" t="e">
        <f t="shared" si="6"/>
        <v>#DIV/0!</v>
      </c>
      <c r="M90" s="59"/>
      <c r="N90" s="62">
        <f t="shared" si="8"/>
        <v>0</v>
      </c>
    </row>
    <row r="91" spans="1:14" ht="17.25" thickTop="1" thickBot="1">
      <c r="A91" s="73" t="s">
        <v>239</v>
      </c>
      <c r="B91" s="74"/>
      <c r="C91" s="75">
        <f>C86+C89</f>
        <v>2359010</v>
      </c>
      <c r="D91" s="75">
        <f t="shared" ref="D91:I91" si="9">D86+D89</f>
        <v>360175</v>
      </c>
      <c r="E91" s="76" t="e">
        <f t="shared" si="9"/>
        <v>#REF!</v>
      </c>
      <c r="F91" s="76" t="e">
        <f t="shared" si="9"/>
        <v>#REF!</v>
      </c>
      <c r="G91" s="77" t="e">
        <f t="shared" si="9"/>
        <v>#REF!</v>
      </c>
      <c r="H91" s="77" t="e">
        <f t="shared" si="9"/>
        <v>#REF!</v>
      </c>
      <c r="I91" s="78" t="e">
        <f t="shared" si="9"/>
        <v>#REF!</v>
      </c>
      <c r="J91" s="79" t="s">
        <v>240</v>
      </c>
      <c r="K91" s="59"/>
      <c r="L91" s="61">
        <f t="shared" si="6"/>
        <v>-5.5496217116679389</v>
      </c>
      <c r="M91" s="59"/>
      <c r="N91" s="62">
        <f t="shared" si="8"/>
        <v>1998835</v>
      </c>
    </row>
    <row r="92" spans="1:14">
      <c r="D92" s="41"/>
      <c r="N92" s="38"/>
    </row>
    <row r="93" spans="1:14">
      <c r="A93" s="38"/>
      <c r="D93" s="41"/>
      <c r="E93" s="5"/>
      <c r="N93" s="38"/>
    </row>
    <row r="94" spans="1:14">
      <c r="D94" s="41"/>
      <c r="H94" s="80"/>
      <c r="I94" s="80"/>
      <c r="N94" s="38"/>
    </row>
    <row r="95" spans="1:14">
      <c r="D95" s="41"/>
    </row>
    <row r="123" hidden="1"/>
    <row r="125" hidden="1"/>
    <row r="132" hidden="1"/>
    <row r="133" hidden="1"/>
    <row r="134" hidden="1"/>
    <row r="135" hidden="1"/>
    <row r="136" hidden="1"/>
    <row r="137" hidden="1"/>
    <row r="138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1" hidden="1"/>
    <row r="152" hidden="1"/>
    <row r="154" hidden="1"/>
    <row r="155" hidden="1"/>
    <row r="157" hidden="1"/>
    <row r="158" hidden="1"/>
    <row r="159" hidden="1"/>
    <row r="160" hidden="1"/>
    <row r="161" hidden="1"/>
  </sheetData>
  <printOptions horizontalCentered="1"/>
  <pageMargins left="0.59055118110236227" right="0.59055118110236227" top="0.39370078740157483" bottom="0.43307086614173229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Graficizzazione</vt:lpstr>
      <vt:lpstr>Situazione Patrimoniale</vt:lpstr>
      <vt:lpstr>Conto Economico</vt:lpstr>
      <vt:lpstr>'Conto Economico'!Area_stampa</vt:lpstr>
      <vt:lpstr>'Situazione Patrimoniale'!Area_stampa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Ciatti</dc:creator>
  <cp:lastModifiedBy>Silvia Ciatti</cp:lastModifiedBy>
  <dcterms:created xsi:type="dcterms:W3CDTF">2025-06-12T09:46:52Z</dcterms:created>
  <dcterms:modified xsi:type="dcterms:W3CDTF">2025-06-12T15:09:02Z</dcterms:modified>
</cp:coreProperties>
</file>